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9 MODELOS DOCUMENTOS\Modelos impresos convocatorias\Impresos específicos convocatoria - medida\2025-Ocupadas S4\Solicitud\"/>
    </mc:Choice>
  </mc:AlternateContent>
  <workbookProtection workbookPassword="CC3E" lockStructure="1"/>
  <bookViews>
    <workbookView xWindow="0" yWindow="0" windowWidth="28800" windowHeight="12450" firstSheet="1" activeTab="1"/>
  </bookViews>
  <sheets>
    <sheet name="Agrupar" sheetId="7" state="hidden" r:id="rId1"/>
    <sheet name="SOLICITUD" sheetId="3" r:id="rId2"/>
    <sheet name="ITINERARIO FORMATIVO" sheetId="11" r:id="rId3"/>
    <sheet name="ESPECIALIDAD ÚNICA NO CATALOGAD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1" l="1"/>
  <c r="I31" i="10" l="1"/>
  <c r="I32" i="10"/>
  <c r="H27" i="10"/>
  <c r="H39" i="10" s="1"/>
  <c r="I27" i="10" l="1"/>
  <c r="I30" i="10"/>
  <c r="I29" i="10"/>
  <c r="I28" i="10"/>
  <c r="C10" i="10"/>
  <c r="C9" i="10"/>
  <c r="C8" i="10"/>
  <c r="C7" i="10"/>
  <c r="C10" i="11" l="1"/>
  <c r="C9" i="11"/>
  <c r="C8" i="11"/>
  <c r="C7" i="11"/>
  <c r="L36" i="11" l="1"/>
  <c r="E44" i="11"/>
  <c r="L22" i="11"/>
  <c r="L23" i="11"/>
  <c r="L24" i="11"/>
  <c r="L25" i="11"/>
  <c r="L26" i="11"/>
  <c r="L27" i="11"/>
  <c r="L28" i="11"/>
  <c r="L29" i="11"/>
  <c r="K22" i="11"/>
  <c r="K23" i="11"/>
  <c r="K24" i="11"/>
  <c r="K25" i="11"/>
  <c r="K26" i="11"/>
  <c r="K27" i="11"/>
  <c r="K28" i="11"/>
  <c r="K29" i="11"/>
  <c r="J21" i="11"/>
  <c r="H21" i="11" s="1"/>
  <c r="L21" i="11" s="1"/>
  <c r="J22" i="11"/>
  <c r="H22" i="11" s="1"/>
  <c r="I22" i="11" s="1"/>
  <c r="J23" i="11"/>
  <c r="J24" i="11"/>
  <c r="J25" i="11"/>
  <c r="J26" i="11"/>
  <c r="J27" i="11"/>
  <c r="J28" i="11"/>
  <c r="J29" i="11"/>
  <c r="H29" i="11" s="1"/>
  <c r="I29" i="11" s="1"/>
  <c r="I23" i="11"/>
  <c r="H24" i="11"/>
  <c r="I24" i="11" s="1"/>
  <c r="H25" i="11"/>
  <c r="I25" i="11" s="1"/>
  <c r="H26" i="11"/>
  <c r="I26" i="11" s="1"/>
  <c r="H27" i="11"/>
  <c r="I27" i="11" s="1"/>
  <c r="H28" i="11"/>
  <c r="I28" i="11" s="1"/>
  <c r="B44" i="11"/>
  <c r="G30" i="11"/>
  <c r="F30" i="11"/>
  <c r="F44" i="11" s="1"/>
  <c r="J20" i="11"/>
  <c r="H20" i="11" s="1"/>
  <c r="I20" i="11" s="1"/>
  <c r="G33" i="10"/>
  <c r="F33" i="10"/>
  <c r="J39" i="10" s="1"/>
  <c r="F40" i="10" s="1"/>
  <c r="I34" i="3"/>
  <c r="I35" i="3"/>
  <c r="I36" i="3"/>
  <c r="I37" i="3"/>
  <c r="H32" i="3"/>
  <c r="I32" i="3" s="1"/>
  <c r="E34" i="3"/>
  <c r="H34" i="3" s="1"/>
  <c r="E35" i="3"/>
  <c r="H35" i="3" s="1"/>
  <c r="E36" i="3"/>
  <c r="H36" i="3" s="1"/>
  <c r="E37" i="3"/>
  <c r="H37" i="3" s="1"/>
  <c r="E33" i="3"/>
  <c r="H33" i="3" s="1"/>
  <c r="I33" i="3" s="1"/>
  <c r="G38" i="3"/>
  <c r="F38" i="3"/>
  <c r="F35" i="10" l="1"/>
  <c r="F34" i="10" s="1"/>
  <c r="F32" i="11"/>
  <c r="F31" i="11" s="1"/>
  <c r="K21" i="11"/>
  <c r="I21" i="11"/>
  <c r="I30" i="11" s="1"/>
  <c r="L20" i="11"/>
  <c r="L30" i="11" s="1"/>
  <c r="L40" i="11" s="1"/>
  <c r="K20" i="11"/>
  <c r="F40" i="11"/>
  <c r="G40" i="11"/>
  <c r="J36" i="11"/>
  <c r="F37" i="11" s="1"/>
  <c r="I33" i="10"/>
  <c r="I39" i="10" s="1"/>
  <c r="I38" i="3"/>
  <c r="H43" i="3" s="1"/>
  <c r="H43" i="10" l="1"/>
  <c r="K30" i="11"/>
  <c r="D44" i="11"/>
  <c r="H36" i="11"/>
  <c r="H44" i="10" l="1"/>
  <c r="C11" i="10"/>
  <c r="I36" i="11"/>
  <c r="K36" i="11"/>
  <c r="K40" i="11" s="1"/>
  <c r="K41" i="11" s="1"/>
  <c r="B45" i="11" s="1"/>
  <c r="H40" i="11" l="1"/>
  <c r="H44" i="11"/>
  <c r="I44" i="11" s="1"/>
  <c r="I40" i="11"/>
  <c r="C15" i="3" l="1"/>
  <c r="C11" i="11"/>
  <c r="H45" i="11"/>
  <c r="L58" i="3"/>
  <c r="L59" i="3"/>
  <c r="L60" i="3"/>
  <c r="L61" i="3"/>
  <c r="L62" i="3"/>
  <c r="L56" i="3"/>
  <c r="K57" i="3"/>
  <c r="K58" i="3"/>
  <c r="K59" i="3"/>
  <c r="K60" i="3"/>
  <c r="K61" i="3"/>
  <c r="K62" i="3"/>
  <c r="K56" i="3"/>
  <c r="F39" i="3"/>
  <c r="K63" i="3" l="1"/>
  <c r="H58" i="3"/>
  <c r="H59" i="3"/>
  <c r="H60" i="3"/>
  <c r="H62" i="3"/>
  <c r="I58" i="3" l="1"/>
  <c r="I59" i="3"/>
  <c r="I60" i="3"/>
  <c r="I62" i="3"/>
  <c r="J43" i="3" l="1"/>
  <c r="F44" i="3" s="1"/>
  <c r="E77" i="3"/>
  <c r="J57" i="3"/>
  <c r="H57" i="3" s="1"/>
  <c r="J58" i="3"/>
  <c r="J59" i="3"/>
  <c r="J60" i="3"/>
  <c r="J61" i="3"/>
  <c r="H61" i="3" s="1"/>
  <c r="I61" i="3" s="1"/>
  <c r="J62" i="3"/>
  <c r="J56" i="3"/>
  <c r="H56" i="3" s="1"/>
  <c r="B77" i="3"/>
  <c r="G63" i="3"/>
  <c r="G73" i="3" s="1"/>
  <c r="F63" i="3"/>
  <c r="I57" i="3" l="1"/>
  <c r="L57" i="3"/>
  <c r="L63" i="3" s="1"/>
  <c r="K64" i="3" s="1"/>
  <c r="B78" i="3" s="1"/>
  <c r="I56" i="3"/>
  <c r="F73" i="3"/>
  <c r="D77" i="3" s="1"/>
  <c r="F65" i="3"/>
  <c r="F64" i="3" s="1"/>
  <c r="J69" i="3"/>
  <c r="F70" i="3" s="1"/>
  <c r="F77" i="3"/>
  <c r="I43" i="3" l="1"/>
  <c r="H47" i="3" s="1"/>
  <c r="H48" i="3" s="1"/>
  <c r="I63" i="3"/>
  <c r="H69" i="3" s="1"/>
  <c r="I69" i="3" s="1"/>
  <c r="H73" i="3" l="1"/>
  <c r="I73" i="3"/>
  <c r="H77" i="3"/>
  <c r="I77" i="3" s="1"/>
  <c r="H78" i="3" l="1"/>
  <c r="F55" i="7"/>
  <c r="E55" i="7"/>
  <c r="D55" i="7"/>
  <c r="C55" i="7"/>
  <c r="G51" i="7"/>
  <c r="F51" i="7"/>
  <c r="J47" i="7"/>
  <c r="F48" i="7" s="1"/>
  <c r="G43" i="7"/>
  <c r="F43" i="7"/>
  <c r="J42" i="7"/>
  <c r="H42" i="7"/>
  <c r="I42" i="7" s="1"/>
  <c r="J41" i="7"/>
  <c r="H41" i="7"/>
  <c r="I41" i="7" s="1"/>
  <c r="J40" i="7"/>
  <c r="H40" i="7"/>
  <c r="I40" i="7" s="1"/>
  <c r="J39" i="7"/>
  <c r="H39" i="7"/>
  <c r="I39" i="7" s="1"/>
  <c r="J38" i="7"/>
  <c r="H38" i="7"/>
  <c r="I38" i="7" s="1"/>
  <c r="J37" i="7"/>
  <c r="H37" i="7"/>
  <c r="I37" i="7" s="1"/>
  <c r="J36" i="7"/>
  <c r="H36" i="7"/>
  <c r="I36" i="7" s="1"/>
  <c r="H47" i="7" s="1"/>
  <c r="H51" i="7" s="1"/>
  <c r="I47" i="7" l="1"/>
  <c r="H55" i="7"/>
  <c r="I55" i="7"/>
  <c r="I51" i="7"/>
  <c r="B55" i="7"/>
  <c r="I43" i="7"/>
</calcChain>
</file>

<file path=xl/comments1.xml><?xml version="1.0" encoding="utf-8"?>
<comments xmlns="http://schemas.openxmlformats.org/spreadsheetml/2006/main">
  <authors>
    <author>x057978</author>
  </authors>
  <commentList>
    <comment ref="F47" authorId="0" shapeId="0">
      <text>
        <r>
          <rPr>
            <sz val="9"/>
            <color indexed="81"/>
            <rFont val="Tahoma"/>
            <family val="2"/>
          </rPr>
          <t>El número de horas  se calcula en función de la formación técnica (FT). Si la FT es menor de 50 horas, 2 horas. Si la FT es igual o mayor que 50 horas y menor que 100 horas, 5 horas. Si la FT es mayor o igual que 100 horas, 10 horas.</t>
        </r>
      </text>
    </comment>
    <comment ref="G47" authorId="0" shapeId="0">
      <text>
        <r>
          <rPr>
            <sz val="9"/>
            <color indexed="81"/>
            <rFont val="Tahoma"/>
            <family val="2"/>
          </rPr>
          <t>El número de horas  se calcula en función de la formación técnica (FT). Si la FT es menor de 50 horas, 2 horas. Si la FT es igual o mayor que 50 horas y menor que 100 horas, 5 horas. Si la FT es mayor o igual que 100 horas, 10 horas.</t>
        </r>
      </text>
    </comment>
  </commentList>
</comments>
</file>

<file path=xl/comments2.xml><?xml version="1.0" encoding="utf-8"?>
<comments xmlns="http://schemas.openxmlformats.org/spreadsheetml/2006/main">
  <authors>
    <author>x057978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Se rellena automáticamente al rellenar todo el formulario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sz val="9"/>
            <color indexed="81"/>
            <rFont val="Tahoma"/>
            <family val="2"/>
          </rPr>
          <t xml:space="preserve">Las horas a impartir de esta formación complementaria (presencial más teleformación) vendrá determinado por la suma de la duración de toda la formación técnica (FT) solicitada:
     –Si la FT es &lt; de 50 horas: 2 horas de formación complementaria
     –Si la FT es &lt; de 100 horas: 5 horas de formación complementaria
     –Si la FT es ≥ de 100 horas: 10 horas de formación complementaria
</t>
        </r>
      </text>
    </comment>
    <comment ref="G43" authorId="0" shapeId="0">
      <text>
        <r>
          <rPr>
            <sz val="9"/>
            <color indexed="81"/>
            <rFont val="Tahoma"/>
            <family val="2"/>
          </rPr>
          <t>Las horas a impartir de esta formación complementaria (presencial más teleformación) vendrá determinado por la suma de la duración de toda la formación técnica (FT) solicitada:
     –Si la FT es &lt; de 50 horas: 2 horas de formación complementaria
     –Si la FT es &lt; de 100 horas: 5 horas de formación complementaria
     –Si la FT es ≥ de 100 horas: 10 horas de formación complementaria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Rellenar  solo cuando NO se trate de una especialidad concreta
Rellenar una fila por módulo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</rPr>
          <t>El número de horas  se calcula en función de la formación técnica (FT). Si la FT es menor de 50 horas, 2 horas. Si la FT es igual o mayor que 50 horas y menor que 100 horas, 5 horas. Si la FT es mayor o igual que 100 horas, 10 horas.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El número de horas  se calcula en función de la formación técnica (FT). Si la FT es menor de 50 horas, 2 horas. Si la FT es igual o mayor que 50 horas y menor que 100 horas, 5 horas. Si la FT es mayor o igual que 100 horas, 10 horas.</t>
        </r>
      </text>
    </comment>
  </commentList>
</comments>
</file>

<file path=xl/comments3.xml><?xml version="1.0" encoding="utf-8"?>
<comments xmlns="http://schemas.openxmlformats.org/spreadsheetml/2006/main">
  <authors>
    <author>x057978</author>
  </authors>
  <commentList>
    <comment ref="D20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2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3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5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5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6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6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 xml:space="preserve">Las horas a impartir de esta formación complementaria (presencial más teleformación) vendrá determinado por la suma de la duración de toda la formación técnica (FT) solicitada:
     –Si la FT es &lt; de 50 horas: 2 horas de formación complementaria
     –Si la FT es &lt; de 100 horas: 5 horas de formación complementaria
     –Si la FT es ≥ de 100 horas: 10 horas de formación complementaria
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 xml:space="preserve">Las horas a impartir de esta formación complementaria (presencial más teleformación) vendrá determinado por la suma de la duración de toda la formación técnica (FT) solicitada:
     –Si la FT es &lt; de 50 horas: 2 horas de formación complementaria
     –Si la FT es &lt; de 100 horas: 5 horas de formación complementaria
     –Si la FT es ≥ de 100 horas: 10 horas de formación complementaria
</t>
        </r>
      </text>
    </comment>
  </commentList>
</comments>
</file>

<file path=xl/comments4.xml><?xml version="1.0" encoding="utf-8"?>
<comments xmlns="http://schemas.openxmlformats.org/spreadsheetml/2006/main">
  <authors>
    <author>x057978</author>
  </authors>
  <commentList>
    <comment ref="F39" authorId="0" shapeId="0">
      <text>
        <r>
          <rPr>
            <sz val="9"/>
            <color indexed="81"/>
            <rFont val="Tahoma"/>
            <family val="2"/>
          </rPr>
          <t xml:space="preserve">Las horas a impartir de esta formación complementaria (presencial más teleformación) vendrá determinado por la suma de la duración de toda la formación técnica (FT) solicitada:
     –Si la FT es &lt; de 50 horas: 2 horas de formación complementaria
     –Si la FT es &lt; de 100 horas: 5 horas de formación complementaria
     –Si la FT es ≥ de 100 horas: 10 horas de formación complementaria
</t>
        </r>
      </text>
    </comment>
    <comment ref="G39" authorId="0" shapeId="0">
      <text>
        <r>
          <rPr>
            <sz val="9"/>
            <color indexed="81"/>
            <rFont val="Tahoma"/>
            <family val="2"/>
          </rPr>
          <t xml:space="preserve">Las horas a impartir de esta formación complementaria (presencial más teleformación) vendrá determinado por la suma de la duración de toda la formación técnica (FT) solicitada:
     –Si la FT es &lt; de 50 horas: 2 horas de formación complementaria
     –Si la FT es &lt; de 100 horas: 5 horas de formación complementaria
     –Si la FT es ≥ de 100 horas: 10 horas de formación complementaria
</t>
        </r>
      </text>
    </comment>
  </commentList>
</comments>
</file>

<file path=xl/sharedStrings.xml><?xml version="1.0" encoding="utf-8"?>
<sst xmlns="http://schemas.openxmlformats.org/spreadsheetml/2006/main" count="391" uniqueCount="110">
  <si>
    <t>CÓDIGO MÓDULO</t>
  </si>
  <si>
    <t>CÓDIGO ESPECIALIDAD</t>
  </si>
  <si>
    <t>HORAS</t>
  </si>
  <si>
    <t>MODALIDAD</t>
  </si>
  <si>
    <t>COSTE</t>
  </si>
  <si>
    <t>ENTIDAD SOLICITANTE</t>
  </si>
  <si>
    <t>CIF</t>
  </si>
  <si>
    <t>Nº PARTICIPANTES</t>
  </si>
  <si>
    <t>LOCALIDAD IMPARTICIÓN</t>
  </si>
  <si>
    <t>CAMPOS CALCULADOS</t>
  </si>
  <si>
    <t>A RELLENAR POR LA ENTIDAD</t>
  </si>
  <si>
    <t>DENOMINACIÓN ESPECIALIDAD</t>
  </si>
  <si>
    <t>DENOMINACIÓN MÓDULO</t>
  </si>
  <si>
    <t>DENOMINACIÓN</t>
  </si>
  <si>
    <t>PARTICIPANTES</t>
  </si>
  <si>
    <t>MÓDULO MEDIO</t>
  </si>
  <si>
    <t>SUBVENCIÓN</t>
  </si>
  <si>
    <t>TIPO ACCIÓN</t>
  </si>
  <si>
    <t>Formación en transformación digital, desarrollo sostenible y transversalidad de género</t>
  </si>
  <si>
    <t>HORAS PRESENCIALES</t>
  </si>
  <si>
    <t>HORAS TELEFORMACIÓN</t>
  </si>
  <si>
    <t>DENOMINACIÓN ACCIÓN</t>
  </si>
  <si>
    <t>MÓDULO</t>
  </si>
  <si>
    <t>HORAS A IMPARTIR</t>
  </si>
  <si>
    <t>H PRESENCIALES</t>
  </si>
  <si>
    <t>H TELEFORMACIÓN</t>
  </si>
  <si>
    <t>Agraria</t>
  </si>
  <si>
    <t>Madera</t>
  </si>
  <si>
    <t>Química</t>
  </si>
  <si>
    <t>Sanidad</t>
  </si>
  <si>
    <t>FORMACIÓN EN TRANSFORMACIÓN DIGITAL, DESARROLLO SOSTENIBLE Y TRANSVERSALIDAD DE GÉNERO</t>
  </si>
  <si>
    <t>POSIBLE ERROR</t>
  </si>
  <si>
    <t>Actividades físicas y deportivas</t>
  </si>
  <si>
    <t>Administración y gestión</t>
  </si>
  <si>
    <t xml:space="preserve">Arte y artesanías </t>
  </si>
  <si>
    <t>Artes gráficas</t>
  </si>
  <si>
    <t>Comercio y marketing</t>
  </si>
  <si>
    <t>Edificación y obra civil</t>
  </si>
  <si>
    <t>Electricidad y electrónica</t>
  </si>
  <si>
    <t>Energía y agua</t>
  </si>
  <si>
    <t>Fabricación mecánica</t>
  </si>
  <si>
    <t>Hostelería y turismo</t>
  </si>
  <si>
    <t>Imagen personal</t>
  </si>
  <si>
    <t>Imagen y sonido</t>
  </si>
  <si>
    <t>Industrias alimentarias</t>
  </si>
  <si>
    <t>Industrias extractivas</t>
  </si>
  <si>
    <t>Informática y comunicaciones</t>
  </si>
  <si>
    <t>Instalación y mantenimiento</t>
  </si>
  <si>
    <t>Seguridad y medio ambiente</t>
  </si>
  <si>
    <t>Servicios socioculturales y a la comunidad</t>
  </si>
  <si>
    <t>Textil, confección y piel</t>
  </si>
  <si>
    <t>Transporte y mantenimiento de vehículos</t>
  </si>
  <si>
    <t xml:space="preserve">RESUMEN E IMPORTE SUBVENCIÓN </t>
  </si>
  <si>
    <t>MÓDULO PRESENCIAL</t>
  </si>
  <si>
    <t>itt</t>
  </si>
  <si>
    <t>FORMACIÓN TÉCNICA</t>
  </si>
  <si>
    <t>AFD</t>
  </si>
  <si>
    <t>ADG</t>
  </si>
  <si>
    <t>AGA</t>
  </si>
  <si>
    <t>ART</t>
  </si>
  <si>
    <t>ARG</t>
  </si>
  <si>
    <t>COM</t>
  </si>
  <si>
    <t>EOC</t>
  </si>
  <si>
    <t>ELE</t>
  </si>
  <si>
    <t>ENA</t>
  </si>
  <si>
    <t>FME</t>
  </si>
  <si>
    <t>HOT</t>
  </si>
  <si>
    <t>IMP</t>
  </si>
  <si>
    <t>IMS</t>
  </si>
  <si>
    <t>INA</t>
  </si>
  <si>
    <t>IEX</t>
  </si>
  <si>
    <t>IFC</t>
  </si>
  <si>
    <t>IMA</t>
  </si>
  <si>
    <t>MAM</t>
  </si>
  <si>
    <t>QUI</t>
  </si>
  <si>
    <t>SAN</t>
  </si>
  <si>
    <t>SEA</t>
  </si>
  <si>
    <t>SSC</t>
  </si>
  <si>
    <t>TCP</t>
  </si>
  <si>
    <t>FICHA DEL PROYECTO FORMATIVO</t>
  </si>
  <si>
    <t>TIPO PROGRAMA</t>
  </si>
  <si>
    <t>a) PROGRAMA DEL ANEXO</t>
  </si>
  <si>
    <t>c) ITINERARIO FORMATIVO</t>
  </si>
  <si>
    <t>b) ESPECIALIDAD ÚNICA NO CATALOGADA</t>
  </si>
  <si>
    <t>FAMILIA PROFESIONAL</t>
  </si>
  <si>
    <t>ESPECIALIDAD ÚNICA NO CATALOGADA</t>
  </si>
  <si>
    <t>TIPO DE PROGRAMA</t>
  </si>
  <si>
    <t>ITINERARIO FORMATIVO</t>
  </si>
  <si>
    <t>Competencias transversales</t>
  </si>
  <si>
    <t>CTR</t>
  </si>
  <si>
    <t>FCO</t>
  </si>
  <si>
    <t>ITT</t>
  </si>
  <si>
    <t>DENOMINACIÓN ITINERARIO</t>
  </si>
  <si>
    <t>TOTAL SUBVENCIÓN</t>
  </si>
  <si>
    <t>RESUMEN E IMPORTE ITINERARIO FORMATIVO</t>
  </si>
  <si>
    <t>PROYECTO FORMATIVO</t>
  </si>
  <si>
    <t>ERROR</t>
  </si>
  <si>
    <t>1. JUSTIFICACIÓN DE LA PROPUESTA</t>
  </si>
  <si>
    <t>2. OBJETIVO DE LA NUEVA ESPECIALIDAD</t>
  </si>
  <si>
    <t>3. APROXIMACIÓN AL CONTENIDO DEL PROGRAMA</t>
  </si>
  <si>
    <t>CONTENIDO APROXIMADO DEL MÓDULO FORMATIVO</t>
  </si>
  <si>
    <t>szadfdsfsfsa</t>
  </si>
  <si>
    <t>Impo presen</t>
  </si>
  <si>
    <t>Impor telef</t>
  </si>
  <si>
    <t>A CONTINUACIÓN, SELECCIONAR LA PESTAÑA DEL EXCEL CORRESPONDIENTE AL TIPO DE PROGRAMA ELEGIDO Y RELLENARLA</t>
  </si>
  <si>
    <t>MÓDULO ECONÓMICO PRESENCIAL</t>
  </si>
  <si>
    <t>CONTENIDO APROXIMADO DEL PROGRAMA FORMATIVO</t>
  </si>
  <si>
    <t>NIVEL</t>
  </si>
  <si>
    <t>1. JUSTIFICACIÓN DE LA NUEVA ESPECIALIDAD</t>
  </si>
  <si>
    <t>2. APROXIMACIÓN AL CONTENIDO DE LA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</si>
</sst>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€&quot;"/>
    <numFmt numFmtId="165" formatCode="0.0000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1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vertical="center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165" fontId="0" fillId="4" borderId="0" xfId="0" applyNumberForma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165" fontId="0" fillId="0" borderId="5" xfId="0" applyNumberFormat="1" applyFill="1" applyBorder="1" applyAlignment="1" applyProtection="1">
      <alignment horizontal="center" vertical="center"/>
    </xf>
    <xf numFmtId="164" fontId="0" fillId="0" borderId="4" xfId="0" applyNumberForma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165" fontId="2" fillId="4" borderId="1" xfId="0" applyNumberFormat="1" applyFont="1" applyFill="1" applyBorder="1" applyAlignment="1" applyProtection="1">
      <alignment horizontal="center" vertical="center"/>
    </xf>
    <xf numFmtId="164" fontId="2" fillId="4" borderId="2" xfId="0" applyNumberFormat="1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1" applyNumberFormat="1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0" fillId="0" borderId="2" xfId="0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vertical="center"/>
    </xf>
    <xf numFmtId="0" fontId="0" fillId="6" borderId="5" xfId="0" applyFill="1" applyBorder="1" applyAlignment="1" applyProtection="1">
      <alignment vertical="center"/>
    </xf>
    <xf numFmtId="0" fontId="0" fillId="6" borderId="4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4" fontId="5" fillId="7" borderId="1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8" fillId="7" borderId="3" xfId="0" applyFont="1" applyFill="1" applyBorder="1" applyAlignment="1" applyProtection="1">
      <alignment horizontal="center" vertical="center"/>
    </xf>
    <xf numFmtId="0" fontId="8" fillId="7" borderId="5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5" fillId="8" borderId="3" xfId="0" applyFont="1" applyFill="1" applyBorder="1" applyAlignment="1" applyProtection="1">
      <alignment horizontal="left" vertical="center"/>
    </xf>
    <xf numFmtId="0" fontId="5" fillId="8" borderId="5" xfId="0" applyFont="1" applyFill="1" applyBorder="1" applyAlignment="1" applyProtection="1">
      <alignment horizontal="left" vertical="center"/>
    </xf>
    <xf numFmtId="0" fontId="5" fillId="8" borderId="4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center"/>
    </xf>
    <xf numFmtId="0" fontId="5" fillId="6" borderId="5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2</xdr:col>
      <xdr:colOff>561975</xdr:colOff>
      <xdr:row>3</xdr:row>
      <xdr:rowOff>171450</xdr:rowOff>
    </xdr:to>
    <xdr:pic>
      <xdr:nvPicPr>
        <xdr:cNvPr id="2" name="Imagen 1" descr="logo S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"/>
          <a:ext cx="2247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1857376</xdr:colOff>
      <xdr:row>0</xdr:row>
      <xdr:rowOff>76200</xdr:rowOff>
    </xdr:from>
    <xdr:to>
      <xdr:col>3</xdr:col>
      <xdr:colOff>1455084</xdr:colOff>
      <xdr:row>4</xdr:row>
      <xdr:rowOff>3432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6" y="76200"/>
          <a:ext cx="2979083" cy="6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1181380</xdr:colOff>
      <xdr:row>0</xdr:row>
      <xdr:rowOff>156743</xdr:rowOff>
    </xdr:from>
    <xdr:to>
      <xdr:col>3</xdr:col>
      <xdr:colOff>1127870</xdr:colOff>
      <xdr:row>4</xdr:row>
      <xdr:rowOff>83975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1255" y="156743"/>
          <a:ext cx="2994490" cy="6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</xdr:colOff>
      <xdr:row>0</xdr:row>
      <xdr:rowOff>35717</xdr:rowOff>
    </xdr:from>
    <xdr:to>
      <xdr:col>2</xdr:col>
      <xdr:colOff>190500</xdr:colOff>
      <xdr:row>5</xdr:row>
      <xdr:rowOff>142875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" y="35717"/>
          <a:ext cx="2214563" cy="10596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1205193</xdr:colOff>
      <xdr:row>0</xdr:row>
      <xdr:rowOff>121024</xdr:rowOff>
    </xdr:from>
    <xdr:to>
      <xdr:col>3</xdr:col>
      <xdr:colOff>1151683</xdr:colOff>
      <xdr:row>4</xdr:row>
      <xdr:rowOff>48256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068" y="121024"/>
          <a:ext cx="2994490" cy="6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2</xdr:col>
      <xdr:colOff>214313</xdr:colOff>
      <xdr:row>5</xdr:row>
      <xdr:rowOff>107158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0"/>
          <a:ext cx="2214563" cy="10596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1205193</xdr:colOff>
      <xdr:row>0</xdr:row>
      <xdr:rowOff>121024</xdr:rowOff>
    </xdr:from>
    <xdr:to>
      <xdr:col>3</xdr:col>
      <xdr:colOff>1370758</xdr:colOff>
      <xdr:row>4</xdr:row>
      <xdr:rowOff>48256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068" y="121024"/>
          <a:ext cx="2994490" cy="6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0</xdr:row>
      <xdr:rowOff>0</xdr:rowOff>
    </xdr:from>
    <xdr:to>
      <xdr:col>2</xdr:col>
      <xdr:colOff>119063</xdr:colOff>
      <xdr:row>5</xdr:row>
      <xdr:rowOff>107158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0"/>
          <a:ext cx="2214563" cy="1059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M57"/>
  <sheetViews>
    <sheetView showGridLines="0" showZeros="0" topLeftCell="C1" zoomScale="85" zoomScaleNormal="85" workbookViewId="0">
      <selection activeCell="C77" sqref="C77:C78"/>
    </sheetView>
  </sheetViews>
  <sheetFormatPr baseColWidth="10" defaultColWidth="11.42578125" defaultRowHeight="15" outlineLevelRow="2" x14ac:dyDescent="0.25"/>
  <cols>
    <col min="1" max="1" width="11.42578125" style="2"/>
    <col min="2" max="2" width="25.7109375" style="2" bestFit="1" customWidth="1"/>
    <col min="3" max="3" width="50.7109375" style="2" customWidth="1"/>
    <col min="4" max="4" width="23.7109375" style="2" bestFit="1" customWidth="1"/>
    <col min="5" max="5" width="50.7109375" style="2" customWidth="1"/>
    <col min="6" max="6" width="18.28515625" style="4" customWidth="1"/>
    <col min="7" max="7" width="19" style="4" customWidth="1"/>
    <col min="8" max="8" width="31.28515625" style="4" bestFit="1" customWidth="1"/>
    <col min="9" max="9" width="18.42578125" style="4" customWidth="1"/>
    <col min="10" max="10" width="18.140625" style="4" customWidth="1"/>
    <col min="11" max="11" width="40.85546875" style="2" customWidth="1"/>
    <col min="12" max="13" width="11.42578125" style="2" customWidth="1"/>
    <col min="14" max="16384" width="11.42578125" style="2"/>
  </cols>
  <sheetData>
    <row r="4" spans="2:13" x14ac:dyDescent="0.25">
      <c r="K4" s="30" t="s">
        <v>32</v>
      </c>
      <c r="L4" s="29" t="s">
        <v>56</v>
      </c>
      <c r="M4" s="31">
        <v>10.85</v>
      </c>
    </row>
    <row r="5" spans="2:13" ht="20.100000000000001" customHeight="1" x14ac:dyDescent="0.25">
      <c r="F5" s="2"/>
      <c r="G5" s="2"/>
      <c r="H5" s="2"/>
      <c r="I5" s="2"/>
      <c r="K5" s="30" t="s">
        <v>33</v>
      </c>
      <c r="L5" s="29" t="s">
        <v>57</v>
      </c>
      <c r="M5" s="31">
        <v>9.8800000000000008</v>
      </c>
    </row>
    <row r="6" spans="2:13" ht="35.1" customHeight="1" x14ac:dyDescent="0.25">
      <c r="B6" s="95" t="s">
        <v>79</v>
      </c>
      <c r="C6" s="95"/>
      <c r="D6" s="95"/>
      <c r="E6" s="95"/>
      <c r="F6" s="95"/>
      <c r="G6" s="95"/>
      <c r="H6" s="95"/>
      <c r="I6" s="95"/>
      <c r="K6" s="30"/>
      <c r="L6" s="29"/>
      <c r="M6" s="31"/>
    </row>
    <row r="7" spans="2:13" ht="20.100000000000001" customHeight="1" x14ac:dyDescent="0.25">
      <c r="F7" s="2"/>
      <c r="G7" s="2"/>
      <c r="H7" s="2"/>
      <c r="I7" s="2"/>
      <c r="K7" s="30"/>
      <c r="L7" s="29"/>
      <c r="M7" s="31"/>
    </row>
    <row r="8" spans="2:13" ht="20.100000000000001" customHeight="1" x14ac:dyDescent="0.25">
      <c r="B8" s="7" t="s">
        <v>5</v>
      </c>
      <c r="C8" s="43"/>
      <c r="F8" s="2"/>
      <c r="G8" s="2"/>
      <c r="H8" s="2"/>
      <c r="I8" s="2"/>
      <c r="K8" s="30" t="s">
        <v>26</v>
      </c>
      <c r="L8" s="29" t="s">
        <v>58</v>
      </c>
      <c r="M8" s="31">
        <v>12.6</v>
      </c>
    </row>
    <row r="9" spans="2:13" ht="20.100000000000001" customHeight="1" x14ac:dyDescent="0.25">
      <c r="B9" s="7" t="s">
        <v>6</v>
      </c>
      <c r="C9" s="43"/>
      <c r="E9" s="3" t="s">
        <v>10</v>
      </c>
      <c r="F9" s="2"/>
      <c r="G9" s="2"/>
      <c r="H9" s="2"/>
      <c r="I9" s="2"/>
      <c r="K9" s="30" t="s">
        <v>34</v>
      </c>
      <c r="L9" s="29" t="s">
        <v>59</v>
      </c>
      <c r="M9" s="31">
        <v>11.8</v>
      </c>
    </row>
    <row r="10" spans="2:13" ht="20.100000000000001" customHeight="1" x14ac:dyDescent="0.25">
      <c r="B10" s="7" t="s">
        <v>8</v>
      </c>
      <c r="C10" s="43"/>
      <c r="E10" s="5" t="s">
        <v>9</v>
      </c>
      <c r="F10" s="2"/>
      <c r="G10" s="2"/>
      <c r="H10" s="2"/>
      <c r="I10" s="2"/>
      <c r="K10" s="30" t="s">
        <v>35</v>
      </c>
      <c r="L10" s="29" t="s">
        <v>60</v>
      </c>
      <c r="M10" s="31">
        <v>11.8</v>
      </c>
    </row>
    <row r="11" spans="2:13" ht="20.100000000000001" customHeight="1" x14ac:dyDescent="0.25">
      <c r="B11" s="7" t="s">
        <v>7</v>
      </c>
      <c r="C11" s="43"/>
      <c r="E11" s="6" t="s">
        <v>31</v>
      </c>
      <c r="F11" s="2"/>
      <c r="G11" s="2"/>
      <c r="H11" s="2"/>
      <c r="I11" s="2"/>
      <c r="K11" s="30" t="s">
        <v>36</v>
      </c>
      <c r="L11" s="29" t="s">
        <v>61</v>
      </c>
      <c r="M11" s="31">
        <v>9.89</v>
      </c>
    </row>
    <row r="12" spans="2:13" ht="20.100000000000001" customHeight="1" x14ac:dyDescent="0.25">
      <c r="B12" s="7" t="s">
        <v>80</v>
      </c>
      <c r="C12" s="44" t="s">
        <v>81</v>
      </c>
      <c r="F12" s="2"/>
      <c r="G12" s="2"/>
      <c r="H12" s="2"/>
      <c r="I12" s="2"/>
      <c r="K12" s="30"/>
      <c r="L12" s="29"/>
      <c r="M12" s="31"/>
    </row>
    <row r="13" spans="2:13" ht="20.100000000000001" customHeight="1" x14ac:dyDescent="0.25">
      <c r="F13" s="2"/>
      <c r="G13" s="2"/>
      <c r="H13" s="2"/>
      <c r="I13" s="2"/>
      <c r="K13" s="30"/>
      <c r="L13" s="29"/>
      <c r="M13" s="31"/>
    </row>
    <row r="14" spans="2:13" ht="30" customHeight="1" x14ac:dyDescent="0.25">
      <c r="B14" s="96" t="s">
        <v>81</v>
      </c>
      <c r="C14" s="96"/>
      <c r="D14" s="96"/>
      <c r="E14" s="96"/>
      <c r="F14" s="96"/>
      <c r="G14" s="96"/>
      <c r="H14" s="96"/>
      <c r="I14" s="96"/>
      <c r="K14" s="30"/>
      <c r="L14" s="29"/>
      <c r="M14" s="31"/>
    </row>
    <row r="15" spans="2:13" ht="20.100000000000001" hidden="1" customHeight="1" outlineLevel="1" x14ac:dyDescent="0.25">
      <c r="F15" s="2"/>
      <c r="G15" s="2"/>
      <c r="H15" s="2"/>
      <c r="I15" s="2"/>
      <c r="K15" s="30"/>
      <c r="L15" s="29"/>
      <c r="M15" s="31"/>
    </row>
    <row r="16" spans="2:13" ht="20.100000000000001" hidden="1" customHeight="1" outlineLevel="1" x14ac:dyDescent="0.25">
      <c r="B16" s="46"/>
      <c r="C16" s="46"/>
      <c r="D16" s="46"/>
      <c r="E16" s="46"/>
      <c r="F16" s="46"/>
      <c r="G16" s="46"/>
      <c r="H16" s="46"/>
      <c r="I16" s="46"/>
      <c r="K16" s="30"/>
      <c r="L16" s="29"/>
      <c r="M16" s="31"/>
    </row>
    <row r="17" spans="1:13" ht="20.100000000000001" hidden="1" customHeight="1" outlineLevel="1" x14ac:dyDescent="0.25">
      <c r="B17" s="46"/>
      <c r="C17" s="46"/>
      <c r="D17" s="46"/>
      <c r="E17" s="46"/>
      <c r="F17" s="46"/>
      <c r="G17" s="46"/>
      <c r="H17" s="46"/>
      <c r="I17" s="46"/>
      <c r="K17" s="30"/>
      <c r="L17" s="29"/>
      <c r="M17" s="31"/>
    </row>
    <row r="18" spans="1:13" ht="20.100000000000001" hidden="1" customHeight="1" outlineLevel="1" x14ac:dyDescent="0.25">
      <c r="B18" s="46"/>
      <c r="C18" s="46"/>
      <c r="D18" s="46"/>
      <c r="E18" s="46"/>
      <c r="F18" s="46"/>
      <c r="G18" s="46"/>
      <c r="H18" s="46"/>
      <c r="I18" s="46"/>
      <c r="K18" s="30"/>
      <c r="L18" s="29"/>
      <c r="M18" s="31"/>
    </row>
    <row r="19" spans="1:13" ht="20.100000000000001" customHeight="1" collapsed="1" x14ac:dyDescent="0.25">
      <c r="F19" s="2"/>
      <c r="G19" s="2"/>
      <c r="H19" s="2"/>
      <c r="I19" s="2"/>
      <c r="K19" s="30"/>
      <c r="L19" s="29"/>
      <c r="M19" s="31"/>
    </row>
    <row r="20" spans="1:13" ht="20.100000000000001" customHeight="1" x14ac:dyDescent="0.25">
      <c r="F20" s="2"/>
      <c r="G20" s="2"/>
      <c r="H20" s="2"/>
      <c r="I20" s="2"/>
      <c r="K20" s="30"/>
      <c r="L20" s="29"/>
      <c r="M20" s="31"/>
    </row>
    <row r="21" spans="1:13" ht="20.100000000000001" customHeight="1" x14ac:dyDescent="0.25">
      <c r="F21" s="2"/>
      <c r="G21" s="2"/>
      <c r="H21" s="2"/>
      <c r="I21" s="2"/>
      <c r="K21" s="30"/>
      <c r="L21" s="29"/>
      <c r="M21" s="31"/>
    </row>
    <row r="22" spans="1:13" ht="30" customHeight="1" x14ac:dyDescent="0.25">
      <c r="B22" s="96" t="s">
        <v>83</v>
      </c>
      <c r="C22" s="96"/>
      <c r="D22" s="96"/>
      <c r="E22" s="96"/>
      <c r="F22" s="96"/>
      <c r="G22" s="96"/>
      <c r="H22" s="96"/>
      <c r="I22" s="96"/>
      <c r="K22" s="30"/>
      <c r="L22" s="29"/>
      <c r="M22" s="31"/>
    </row>
    <row r="23" spans="1:13" ht="20.100000000000001" hidden="1" customHeight="1" outlineLevel="1" x14ac:dyDescent="0.25">
      <c r="F23" s="2"/>
      <c r="G23" s="2"/>
      <c r="H23" s="2"/>
      <c r="I23" s="2"/>
      <c r="K23" s="30"/>
      <c r="L23" s="29"/>
      <c r="M23" s="31"/>
    </row>
    <row r="24" spans="1:13" ht="20.100000000000001" hidden="1" customHeight="1" outlineLevel="1" x14ac:dyDescent="0.25">
      <c r="B24" s="97" t="s">
        <v>55</v>
      </c>
      <c r="C24" s="98"/>
      <c r="D24" s="98"/>
      <c r="E24" s="98"/>
      <c r="F24" s="98"/>
      <c r="G24" s="98"/>
      <c r="H24" s="98"/>
      <c r="I24" s="99"/>
      <c r="K24" s="30"/>
      <c r="L24" s="29"/>
      <c r="M24" s="31"/>
    </row>
    <row r="25" spans="1:13" s="9" customFormat="1" ht="35.1" hidden="1" customHeight="1" outlineLevel="1" x14ac:dyDescent="0.25">
      <c r="B25" s="7" t="s">
        <v>1</v>
      </c>
      <c r="C25" s="100" t="s">
        <v>11</v>
      </c>
      <c r="D25" s="101"/>
      <c r="E25" s="45" t="s">
        <v>84</v>
      </c>
      <c r="F25" s="8" t="s">
        <v>19</v>
      </c>
      <c r="G25" s="8" t="s">
        <v>20</v>
      </c>
      <c r="H25" s="8" t="s">
        <v>53</v>
      </c>
      <c r="I25" s="39" t="s">
        <v>4</v>
      </c>
      <c r="J25" s="4"/>
      <c r="K25" s="30"/>
      <c r="L25" s="29"/>
      <c r="M25" s="31"/>
    </row>
    <row r="26" spans="1:13" ht="20.100000000000001" hidden="1" customHeight="1" outlineLevel="1" x14ac:dyDescent="0.25">
      <c r="B26" s="47"/>
      <c r="C26" s="93"/>
      <c r="D26" s="94"/>
      <c r="E26" s="47"/>
      <c r="F26" s="47"/>
      <c r="G26" s="47"/>
      <c r="H26" s="16"/>
      <c r="I26" s="16"/>
      <c r="K26" s="30"/>
      <c r="L26" s="29"/>
      <c r="M26" s="31"/>
    </row>
    <row r="27" spans="1:13" ht="20.100000000000001" hidden="1" customHeight="1" outlineLevel="1" x14ac:dyDescent="0.25">
      <c r="F27" s="2"/>
      <c r="G27" s="2"/>
      <c r="H27" s="2"/>
      <c r="I27" s="2"/>
      <c r="K27" s="30"/>
      <c r="L27" s="29"/>
      <c r="M27" s="31"/>
    </row>
    <row r="28" spans="1:13" ht="20.100000000000001" hidden="1" customHeight="1" outlineLevel="1" x14ac:dyDescent="0.25">
      <c r="B28" s="97" t="s">
        <v>30</v>
      </c>
      <c r="C28" s="98"/>
      <c r="D28" s="98"/>
      <c r="E28" s="98"/>
      <c r="F28" s="98"/>
      <c r="G28" s="98"/>
      <c r="H28" s="98"/>
      <c r="I28" s="99"/>
      <c r="K28" s="30"/>
      <c r="L28" s="29"/>
      <c r="M28" s="31"/>
    </row>
    <row r="29" spans="1:13" ht="35.1" hidden="1" customHeight="1" outlineLevel="1" x14ac:dyDescent="0.25">
      <c r="A29" s="4"/>
      <c r="B29" s="103" t="s">
        <v>13</v>
      </c>
      <c r="C29" s="103"/>
      <c r="D29" s="103"/>
      <c r="E29" s="103"/>
      <c r="F29" s="8" t="s">
        <v>19</v>
      </c>
      <c r="G29" s="8" t="s">
        <v>20</v>
      </c>
      <c r="H29" s="25" t="s">
        <v>22</v>
      </c>
      <c r="I29" s="39" t="s">
        <v>4</v>
      </c>
      <c r="J29" s="39"/>
      <c r="K29" s="30"/>
      <c r="L29" s="29"/>
      <c r="M29" s="31"/>
    </row>
    <row r="30" spans="1:13" ht="20.100000000000001" hidden="1" customHeight="1" outlineLevel="1" x14ac:dyDescent="0.25">
      <c r="B30" s="104" t="s">
        <v>18</v>
      </c>
      <c r="C30" s="105"/>
      <c r="D30" s="105"/>
      <c r="E30" s="106"/>
      <c r="F30" s="47"/>
      <c r="G30" s="47"/>
      <c r="H30" s="46"/>
      <c r="I30" s="46"/>
      <c r="K30" s="30"/>
      <c r="L30" s="29"/>
      <c r="M30" s="31"/>
    </row>
    <row r="31" spans="1:13" ht="20.100000000000001" customHeight="1" collapsed="1" x14ac:dyDescent="0.25">
      <c r="F31" s="2"/>
      <c r="G31" s="2"/>
      <c r="H31" s="2"/>
      <c r="I31" s="2"/>
      <c r="K31" s="30"/>
      <c r="L31" s="29"/>
      <c r="M31" s="31"/>
    </row>
    <row r="32" spans="1:13" ht="30" customHeight="1" x14ac:dyDescent="0.25">
      <c r="B32" s="96" t="s">
        <v>82</v>
      </c>
      <c r="C32" s="96"/>
      <c r="D32" s="96"/>
      <c r="E32" s="96"/>
      <c r="F32" s="96"/>
      <c r="G32" s="96"/>
      <c r="H32" s="96"/>
      <c r="I32" s="96"/>
      <c r="K32" s="30"/>
      <c r="L32" s="29"/>
      <c r="M32" s="31"/>
    </row>
    <row r="33" spans="1:13" ht="20.100000000000001" customHeight="1" x14ac:dyDescent="0.25">
      <c r="K33" s="30" t="s">
        <v>37</v>
      </c>
      <c r="L33" s="29" t="s">
        <v>62</v>
      </c>
      <c r="M33" s="31">
        <v>12.17</v>
      </c>
    </row>
    <row r="34" spans="1:13" ht="20.100000000000001" hidden="1" customHeight="1" outlineLevel="2" x14ac:dyDescent="0.25">
      <c r="B34" s="97" t="s">
        <v>55</v>
      </c>
      <c r="C34" s="98"/>
      <c r="D34" s="98"/>
      <c r="E34" s="98"/>
      <c r="F34" s="98"/>
      <c r="G34" s="98"/>
      <c r="H34" s="98"/>
      <c r="I34" s="99"/>
      <c r="K34" s="30" t="s">
        <v>38</v>
      </c>
      <c r="L34" s="29" t="s">
        <v>63</v>
      </c>
      <c r="M34" s="31">
        <v>11</v>
      </c>
    </row>
    <row r="35" spans="1:13" s="9" customFormat="1" ht="35.1" hidden="1" customHeight="1" outlineLevel="2" x14ac:dyDescent="0.25">
      <c r="B35" s="7" t="s">
        <v>1</v>
      </c>
      <c r="C35" s="7" t="s">
        <v>11</v>
      </c>
      <c r="D35" s="7" t="s">
        <v>0</v>
      </c>
      <c r="E35" s="7" t="s">
        <v>12</v>
      </c>
      <c r="F35" s="8" t="s">
        <v>19</v>
      </c>
      <c r="G35" s="8" t="s">
        <v>20</v>
      </c>
      <c r="H35" s="8" t="s">
        <v>53</v>
      </c>
      <c r="I35" s="39" t="s">
        <v>4</v>
      </c>
      <c r="J35" s="4"/>
      <c r="K35" s="30" t="s">
        <v>39</v>
      </c>
      <c r="L35" s="29" t="s">
        <v>64</v>
      </c>
      <c r="M35" s="31">
        <v>11.29</v>
      </c>
    </row>
    <row r="36" spans="1:13" s="37" customFormat="1" hidden="1" outlineLevel="2" x14ac:dyDescent="0.25">
      <c r="B36" s="38"/>
      <c r="C36" s="38"/>
      <c r="D36" s="38"/>
      <c r="E36" s="38"/>
      <c r="F36" s="32"/>
      <c r="G36" s="32"/>
      <c r="H36" s="33" t="str">
        <f t="shared" ref="H36:H42" si="0">IF(B36="","",VLOOKUP(J36,$L$4:$M$49,2,FALSE))</f>
        <v/>
      </c>
      <c r="I36" s="34">
        <f>IF(OR(AND(F36="",G36=""),H36=""),0,((F36*H36*$C$11)+(G36*H36*0.75*$C$11)))</f>
        <v>0</v>
      </c>
      <c r="J36" s="15" t="str">
        <f>LEFT(B36,3)</f>
        <v/>
      </c>
      <c r="K36" s="35" t="s">
        <v>40</v>
      </c>
      <c r="L36" s="33" t="s">
        <v>65</v>
      </c>
      <c r="M36" s="36">
        <v>12.35</v>
      </c>
    </row>
    <row r="37" spans="1:13" s="37" customFormat="1" hidden="1" outlineLevel="2" x14ac:dyDescent="0.25">
      <c r="B37" s="38"/>
      <c r="C37" s="38"/>
      <c r="D37" s="38"/>
      <c r="E37" s="38"/>
      <c r="F37" s="32"/>
      <c r="G37" s="32"/>
      <c r="H37" s="33" t="str">
        <f t="shared" si="0"/>
        <v/>
      </c>
      <c r="I37" s="34">
        <f t="shared" ref="I37:I42" si="1">IF(OR(AND(F37="",G37=""),H37=""),0,((F37*H37*$C$11)+(G37*H37*0.75*$C$11)))</f>
        <v>0</v>
      </c>
      <c r="J37" s="15" t="str">
        <f t="shared" ref="J37:J42" si="2">LEFT(B37,3)</f>
        <v/>
      </c>
      <c r="K37" s="35" t="s">
        <v>41</v>
      </c>
      <c r="L37" s="33" t="s">
        <v>66</v>
      </c>
      <c r="M37" s="36">
        <v>12.02</v>
      </c>
    </row>
    <row r="38" spans="1:13" s="37" customFormat="1" hidden="1" outlineLevel="2" x14ac:dyDescent="0.25">
      <c r="B38" s="38"/>
      <c r="C38" s="38"/>
      <c r="D38" s="38"/>
      <c r="E38" s="38"/>
      <c r="F38" s="32"/>
      <c r="G38" s="32"/>
      <c r="H38" s="33" t="str">
        <f t="shared" si="0"/>
        <v/>
      </c>
      <c r="I38" s="34">
        <f t="shared" si="1"/>
        <v>0</v>
      </c>
      <c r="J38" s="15" t="str">
        <f t="shared" si="2"/>
        <v/>
      </c>
      <c r="K38" s="35" t="s">
        <v>42</v>
      </c>
      <c r="L38" s="33" t="s">
        <v>67</v>
      </c>
      <c r="M38" s="36">
        <v>12.77</v>
      </c>
    </row>
    <row r="39" spans="1:13" s="37" customFormat="1" hidden="1" outlineLevel="2" x14ac:dyDescent="0.25">
      <c r="B39" s="38"/>
      <c r="C39" s="38"/>
      <c r="D39" s="38"/>
      <c r="E39" s="38"/>
      <c r="F39" s="32"/>
      <c r="G39" s="32"/>
      <c r="H39" s="33" t="str">
        <f t="shared" si="0"/>
        <v/>
      </c>
      <c r="I39" s="34">
        <f t="shared" si="1"/>
        <v>0</v>
      </c>
      <c r="J39" s="15" t="str">
        <f t="shared" si="2"/>
        <v/>
      </c>
      <c r="K39" s="35" t="s">
        <v>43</v>
      </c>
      <c r="L39" s="33" t="s">
        <v>68</v>
      </c>
      <c r="M39" s="36">
        <v>12.35</v>
      </c>
    </row>
    <row r="40" spans="1:13" s="37" customFormat="1" hidden="1" outlineLevel="2" x14ac:dyDescent="0.25">
      <c r="B40" s="38"/>
      <c r="C40" s="38"/>
      <c r="D40" s="38"/>
      <c r="E40" s="38"/>
      <c r="F40" s="32"/>
      <c r="G40" s="32"/>
      <c r="H40" s="33" t="str">
        <f t="shared" si="0"/>
        <v/>
      </c>
      <c r="I40" s="34">
        <f t="shared" si="1"/>
        <v>0</v>
      </c>
      <c r="J40" s="15" t="str">
        <f t="shared" si="2"/>
        <v/>
      </c>
      <c r="K40" s="35" t="s">
        <v>44</v>
      </c>
      <c r="L40" s="33" t="s">
        <v>69</v>
      </c>
      <c r="M40" s="36">
        <v>13.5</v>
      </c>
    </row>
    <row r="41" spans="1:13" s="37" customFormat="1" hidden="1" outlineLevel="2" x14ac:dyDescent="0.25">
      <c r="B41" s="38"/>
      <c r="C41" s="38"/>
      <c r="D41" s="38"/>
      <c r="E41" s="38"/>
      <c r="F41" s="32"/>
      <c r="G41" s="32"/>
      <c r="H41" s="33" t="str">
        <f t="shared" si="0"/>
        <v/>
      </c>
      <c r="I41" s="34">
        <f t="shared" si="1"/>
        <v>0</v>
      </c>
      <c r="J41" s="15" t="str">
        <f t="shared" si="2"/>
        <v/>
      </c>
      <c r="K41" s="35" t="s">
        <v>45</v>
      </c>
      <c r="L41" s="33" t="s">
        <v>70</v>
      </c>
      <c r="M41" s="36">
        <v>12.17</v>
      </c>
    </row>
    <row r="42" spans="1:13" s="37" customFormat="1" hidden="1" outlineLevel="2" x14ac:dyDescent="0.25">
      <c r="B42" s="38"/>
      <c r="C42" s="38"/>
      <c r="D42" s="38"/>
      <c r="E42" s="38"/>
      <c r="F42" s="32"/>
      <c r="G42" s="32"/>
      <c r="H42" s="33" t="str">
        <f t="shared" si="0"/>
        <v/>
      </c>
      <c r="I42" s="34">
        <f t="shared" si="1"/>
        <v>0</v>
      </c>
      <c r="J42" s="15" t="str">
        <f t="shared" si="2"/>
        <v/>
      </c>
      <c r="K42" s="35" t="s">
        <v>46</v>
      </c>
      <c r="L42" s="33" t="s">
        <v>71</v>
      </c>
      <c r="M42" s="36">
        <v>9.8800000000000008</v>
      </c>
    </row>
    <row r="43" spans="1:13" ht="24.95" hidden="1" customHeight="1" outlineLevel="2" x14ac:dyDescent="0.25">
      <c r="A43" s="4"/>
      <c r="B43" s="4"/>
      <c r="C43" s="4"/>
      <c r="D43" s="4"/>
      <c r="E43" s="4"/>
      <c r="F43" s="42">
        <f>SUM(F36:F42)</f>
        <v>0</v>
      </c>
      <c r="G43" s="42">
        <f>SUM(G36:G42)</f>
        <v>0</v>
      </c>
      <c r="H43" s="11"/>
      <c r="I43" s="10">
        <f>I36+I37+I38+I39+I40+I41+I42</f>
        <v>0</v>
      </c>
      <c r="K43" s="30" t="s">
        <v>47</v>
      </c>
      <c r="L43" s="29" t="s">
        <v>72</v>
      </c>
      <c r="M43" s="31">
        <v>11.49</v>
      </c>
    </row>
    <row r="44" spans="1:13" ht="20.100000000000001" hidden="1" customHeight="1" outlineLevel="2" x14ac:dyDescent="0.25">
      <c r="A44" s="4"/>
      <c r="B44" s="4"/>
      <c r="C44" s="4"/>
      <c r="D44" s="4"/>
      <c r="E44" s="4"/>
      <c r="K44" s="30" t="s">
        <v>27</v>
      </c>
      <c r="L44" s="29" t="s">
        <v>73</v>
      </c>
      <c r="M44" s="31">
        <v>12.17</v>
      </c>
    </row>
    <row r="45" spans="1:13" ht="20.100000000000001" hidden="1" customHeight="1" outlineLevel="2" x14ac:dyDescent="0.25">
      <c r="B45" s="97" t="s">
        <v>30</v>
      </c>
      <c r="C45" s="98"/>
      <c r="D45" s="98"/>
      <c r="E45" s="98"/>
      <c r="F45" s="98"/>
      <c r="G45" s="98"/>
      <c r="H45" s="98"/>
      <c r="I45" s="99"/>
      <c r="K45" s="30" t="s">
        <v>28</v>
      </c>
      <c r="L45" s="29" t="s">
        <v>74</v>
      </c>
      <c r="M45" s="31">
        <v>10.71</v>
      </c>
    </row>
    <row r="46" spans="1:13" ht="35.1" hidden="1" customHeight="1" outlineLevel="2" x14ac:dyDescent="0.25">
      <c r="A46" s="4"/>
      <c r="B46" s="103" t="s">
        <v>13</v>
      </c>
      <c r="C46" s="103"/>
      <c r="D46" s="103"/>
      <c r="E46" s="103"/>
      <c r="F46" s="8" t="s">
        <v>19</v>
      </c>
      <c r="G46" s="8" t="s">
        <v>20</v>
      </c>
      <c r="H46" s="25" t="s">
        <v>22</v>
      </c>
      <c r="I46" s="39" t="s">
        <v>4</v>
      </c>
      <c r="J46" s="39" t="s">
        <v>23</v>
      </c>
      <c r="K46" s="30" t="s">
        <v>29</v>
      </c>
      <c r="L46" s="29" t="s">
        <v>75</v>
      </c>
      <c r="M46" s="31">
        <v>11.97</v>
      </c>
    </row>
    <row r="47" spans="1:13" ht="24.95" hidden="1" customHeight="1" outlineLevel="2" x14ac:dyDescent="0.25">
      <c r="A47" s="4"/>
      <c r="B47" s="104" t="s">
        <v>18</v>
      </c>
      <c r="C47" s="105"/>
      <c r="D47" s="105"/>
      <c r="E47" s="106"/>
      <c r="F47" s="1"/>
      <c r="G47" s="1"/>
      <c r="H47" s="12" t="str">
        <f>IF(I36=0,"",I43/(G43+F43)/C11)</f>
        <v/>
      </c>
      <c r="I47" s="10" t="str">
        <f>IF(I36=0,"",(F47*H47*C11)+(G47*H47*C11))</f>
        <v/>
      </c>
      <c r="J47" s="42" t="str">
        <f>IF(F36="","",IF((F43+G43)&lt;50,2,IF(AND((F43+G43)&gt;=50,(F43+G43)&lt;100),5,10)))</f>
        <v/>
      </c>
      <c r="K47" s="30" t="s">
        <v>48</v>
      </c>
      <c r="L47" s="29" t="s">
        <v>76</v>
      </c>
      <c r="M47" s="31">
        <v>10.71</v>
      </c>
    </row>
    <row r="48" spans="1:13" ht="15" hidden="1" customHeight="1" outlineLevel="2" x14ac:dyDescent="0.25">
      <c r="A48" s="4"/>
      <c r="B48" s="40"/>
      <c r="C48" s="40"/>
      <c r="D48" s="40"/>
      <c r="E48" s="40"/>
      <c r="F48" s="107" t="str">
        <f>IF(J47="","",IF((F47+G47)=J47,"","Nº horas incorrecto"))</f>
        <v/>
      </c>
      <c r="G48" s="107"/>
      <c r="H48" s="13"/>
      <c r="I48" s="14"/>
      <c r="K48" s="30" t="s">
        <v>49</v>
      </c>
      <c r="L48" s="29" t="s">
        <v>77</v>
      </c>
      <c r="M48" s="31">
        <v>10.71</v>
      </c>
    </row>
    <row r="49" spans="1:13" ht="9.9499999999999993" hidden="1" customHeight="1" outlineLevel="2" x14ac:dyDescent="0.25">
      <c r="A49" s="4"/>
      <c r="B49" s="4"/>
      <c r="C49" s="4"/>
      <c r="D49" s="4"/>
      <c r="E49" s="4"/>
      <c r="K49" s="30" t="s">
        <v>50</v>
      </c>
      <c r="L49" s="29" t="s">
        <v>78</v>
      </c>
      <c r="M49" s="31">
        <v>12.35</v>
      </c>
    </row>
    <row r="50" spans="1:13" ht="15" hidden="1" customHeight="1" outlineLevel="2" x14ac:dyDescent="0.25">
      <c r="A50" s="4"/>
      <c r="B50" s="4"/>
      <c r="C50" s="4"/>
      <c r="D50" s="4"/>
      <c r="E50" s="4"/>
      <c r="F50" s="15" t="s">
        <v>24</v>
      </c>
      <c r="G50" s="15" t="s">
        <v>25</v>
      </c>
      <c r="H50" s="16" t="s">
        <v>15</v>
      </c>
      <c r="I50" s="16" t="s">
        <v>4</v>
      </c>
      <c r="K50" s="30" t="s">
        <v>51</v>
      </c>
      <c r="L50" s="29" t="s">
        <v>54</v>
      </c>
      <c r="M50" s="31">
        <v>12.47</v>
      </c>
    </row>
    <row r="51" spans="1:13" ht="15" hidden="1" customHeight="1" outlineLevel="2" x14ac:dyDescent="0.25">
      <c r="B51" s="4"/>
      <c r="F51" s="17">
        <f>IF(AND(F36="",G36=""),0,F43+F47)</f>
        <v>0</v>
      </c>
      <c r="G51" s="17" t="str">
        <f>IF(AND(F36="",G36=""),"",G43+G47)</f>
        <v/>
      </c>
      <c r="H51" s="18" t="str">
        <f>IF(H47="","",H47)</f>
        <v/>
      </c>
      <c r="I51" s="19" t="str">
        <f>IF(I36=0,"",I43+I47)</f>
        <v/>
      </c>
    </row>
    <row r="52" spans="1:13" s="20" customFormat="1" ht="15" hidden="1" customHeight="1" outlineLevel="2" x14ac:dyDescent="0.25">
      <c r="B52" s="21"/>
      <c r="F52" s="22"/>
      <c r="G52" s="22"/>
      <c r="H52" s="23"/>
      <c r="I52" s="24"/>
      <c r="J52" s="21"/>
    </row>
    <row r="53" spans="1:13" ht="20.100000000000001" hidden="1" customHeight="1" outlineLevel="2" x14ac:dyDescent="0.25">
      <c r="B53" s="97" t="s">
        <v>52</v>
      </c>
      <c r="C53" s="98"/>
      <c r="D53" s="98"/>
      <c r="E53" s="98"/>
      <c r="F53" s="98"/>
      <c r="G53" s="98"/>
      <c r="H53" s="98"/>
      <c r="I53" s="99"/>
    </row>
    <row r="54" spans="1:13" ht="35.1" hidden="1" customHeight="1" outlineLevel="2" x14ac:dyDescent="0.25">
      <c r="B54" s="39" t="s">
        <v>17</v>
      </c>
      <c r="C54" s="39" t="s">
        <v>21</v>
      </c>
      <c r="D54" s="28" t="s">
        <v>3</v>
      </c>
      <c r="E54" s="39" t="s">
        <v>14</v>
      </c>
      <c r="F54" s="103" t="s">
        <v>2</v>
      </c>
      <c r="G54" s="103"/>
      <c r="H54" s="39" t="s">
        <v>15</v>
      </c>
      <c r="I54" s="39" t="s">
        <v>16</v>
      </c>
    </row>
    <row r="55" spans="1:13" ht="24.95" hidden="1" customHeight="1" outlineLevel="2" x14ac:dyDescent="0.25">
      <c r="B55" s="41" t="str">
        <f>IF(AND(I36=0,I37=0),"",IF(AND(I36&lt;&gt;0,I37&lt;&gt;0),"ITINERARIO","ESPECIALIDAD ÚNICA"))</f>
        <v/>
      </c>
      <c r="C55" s="41" t="str">
        <f>IF(C10="","",C10)</f>
        <v/>
      </c>
      <c r="D55" s="41" t="str">
        <f>IF(AND(F36="",G36=""),"",IF((F51/(F51+G51))&lt;=0.2,"TELEFORMACIÓN",IF((F51/(F51+G51))=1,"PRESENCIAL","MIXTA")))</f>
        <v/>
      </c>
      <c r="E55" s="41" t="str">
        <f>IF(C11="","",C11)</f>
        <v/>
      </c>
      <c r="F55" s="102" t="str">
        <f>IF(AND(F36="",G36=""),"",F43+G43+F47)</f>
        <v/>
      </c>
      <c r="G55" s="102"/>
      <c r="H55" s="26" t="str">
        <f>IF(I36=0,"",H47)</f>
        <v/>
      </c>
      <c r="I55" s="27" t="str">
        <f>IF(I36=0,"",E55*F55*H55)</f>
        <v/>
      </c>
    </row>
    <row r="56" spans="1:13" hidden="1" outlineLevel="2" x14ac:dyDescent="0.25"/>
    <row r="57" spans="1:13" collapsed="1" x14ac:dyDescent="0.25"/>
  </sheetData>
  <mergeCells count="18">
    <mergeCell ref="F55:G55"/>
    <mergeCell ref="B28:I28"/>
    <mergeCell ref="B29:E29"/>
    <mergeCell ref="B30:E30"/>
    <mergeCell ref="B32:I32"/>
    <mergeCell ref="B34:I34"/>
    <mergeCell ref="B45:I45"/>
    <mergeCell ref="B46:E46"/>
    <mergeCell ref="B47:E47"/>
    <mergeCell ref="F48:G48"/>
    <mergeCell ref="B53:I53"/>
    <mergeCell ref="F54:G54"/>
    <mergeCell ref="C26:D26"/>
    <mergeCell ref="B6:I6"/>
    <mergeCell ref="B14:I14"/>
    <mergeCell ref="B22:I22"/>
    <mergeCell ref="B24:I24"/>
    <mergeCell ref="C25:D25"/>
  </mergeCells>
  <conditionalFormatting sqref="F48:G48">
    <cfRule type="cellIs" dxfId="21" priority="3" operator="equal">
      <formula>"Nº horas incorrecto"</formula>
    </cfRule>
  </conditionalFormatting>
  <conditionalFormatting sqref="H37:H42">
    <cfRule type="cellIs" dxfId="20" priority="2" operator="equal">
      <formula>"Código esp mal escrito"</formula>
    </cfRule>
  </conditionalFormatting>
  <conditionalFormatting sqref="H36">
    <cfRule type="cellIs" dxfId="19" priority="1" operator="equal">
      <formula>"Código esp mal escrito"</formula>
    </cfRule>
  </conditionalFormatting>
  <dataValidations count="1">
    <dataValidation type="list" allowBlank="1" showInputMessage="1" showErrorMessage="1" error="Elegir una opción del despegable" sqref="F14:F17 C22 F22 C12:C17 E31">
      <formula1>"a) PROGRAMA DEL ANEXO,b) ESPECIALIDAD ÚNICA NO CATALOGADA,c) ITINERARIO FORMATICO"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L117"/>
  <sheetViews>
    <sheetView showGridLines="0" showZeros="0" tabSelected="1" zoomScaleNormal="100" workbookViewId="0">
      <selection activeCell="C9" sqref="C9"/>
    </sheetView>
  </sheetViews>
  <sheetFormatPr baseColWidth="10" defaultColWidth="11.42578125" defaultRowHeight="15" x14ac:dyDescent="0.25"/>
  <cols>
    <col min="1" max="1" width="11.42578125" style="2"/>
    <col min="2" max="2" width="30.7109375" style="2" customWidth="1"/>
    <col min="3" max="3" width="45.7109375" style="2" customWidth="1"/>
    <col min="4" max="4" width="30.7109375" style="2" customWidth="1"/>
    <col min="5" max="5" width="45.7109375" style="2" customWidth="1"/>
    <col min="6" max="6" width="20.140625" style="2" customWidth="1"/>
    <col min="7" max="7" width="18.42578125" style="2" customWidth="1"/>
    <col min="8" max="8" width="29.28515625" style="2" bestFit="1" customWidth="1"/>
    <col min="9" max="9" width="19.140625" style="2" customWidth="1"/>
    <col min="10" max="10" width="11.42578125" style="2" hidden="1" customWidth="1"/>
    <col min="11" max="12" width="0" style="2" hidden="1" customWidth="1"/>
    <col min="13" max="16384" width="11.42578125" style="2"/>
  </cols>
  <sheetData>
    <row r="7" spans="2:5" ht="30" customHeight="1" x14ac:dyDescent="0.25">
      <c r="B7" s="125" t="s">
        <v>95</v>
      </c>
      <c r="C7" s="126"/>
      <c r="D7" s="126"/>
      <c r="E7" s="127"/>
    </row>
    <row r="9" spans="2:5" ht="24.95" customHeight="1" x14ac:dyDescent="0.25">
      <c r="B9" s="80" t="s">
        <v>5</v>
      </c>
      <c r="C9" s="81"/>
    </row>
    <row r="10" spans="2:5" ht="24.95" customHeight="1" x14ac:dyDescent="0.25">
      <c r="B10" s="80" t="s">
        <v>6</v>
      </c>
      <c r="C10" s="81"/>
      <c r="E10" s="83" t="s">
        <v>10</v>
      </c>
    </row>
    <row r="11" spans="2:5" ht="24.95" customHeight="1" x14ac:dyDescent="0.25">
      <c r="B11" s="80" t="s">
        <v>8</v>
      </c>
      <c r="C11" s="81"/>
      <c r="E11" s="84" t="s">
        <v>9</v>
      </c>
    </row>
    <row r="12" spans="2:5" ht="24.95" customHeight="1" x14ac:dyDescent="0.25">
      <c r="B12" s="80" t="s">
        <v>7</v>
      </c>
      <c r="C12" s="81"/>
      <c r="E12" s="85" t="s">
        <v>96</v>
      </c>
    </row>
    <row r="13" spans="2:5" ht="24.95" customHeight="1" x14ac:dyDescent="0.25">
      <c r="B13" s="80" t="s">
        <v>86</v>
      </c>
      <c r="C13" s="81"/>
    </row>
    <row r="14" spans="2:5" ht="24.95" customHeight="1" x14ac:dyDescent="0.25"/>
    <row r="15" spans="2:5" ht="24.95" customHeight="1" x14ac:dyDescent="0.25">
      <c r="B15" s="80" t="s">
        <v>16</v>
      </c>
      <c r="C15" s="78" t="str">
        <f>IF(C13="Especialidad única no catalogada",'ESPECIALIDAD ÚNICA NO CATALOGAD'!H43,IF(C13="Itinerario formativo",'ITINERARIO FORMATIVO'!I44,""))</f>
        <v/>
      </c>
    </row>
    <row r="16" spans="2:5" ht="20.100000000000001" customHeight="1" x14ac:dyDescent="0.25"/>
    <row r="17" spans="1:9" ht="38.25" customHeight="1" x14ac:dyDescent="0.25">
      <c r="B17" s="108" t="s">
        <v>104</v>
      </c>
      <c r="C17" s="108"/>
      <c r="D17" s="108"/>
      <c r="E17" s="108"/>
    </row>
    <row r="18" spans="1:9" ht="15" customHeight="1" x14ac:dyDescent="0.25"/>
    <row r="19" spans="1:9" ht="15" customHeight="1" x14ac:dyDescent="0.25"/>
    <row r="20" spans="1:9" ht="30" hidden="1" customHeight="1" x14ac:dyDescent="0.25">
      <c r="B20" s="96" t="s">
        <v>85</v>
      </c>
      <c r="C20" s="96"/>
      <c r="D20" s="96"/>
      <c r="E20" s="96"/>
      <c r="F20" s="96"/>
      <c r="G20" s="96"/>
      <c r="H20" s="96"/>
      <c r="I20" s="96"/>
    </row>
    <row r="21" spans="1:9" ht="15" hidden="1" customHeight="1" x14ac:dyDescent="0.25">
      <c r="A21" s="51"/>
    </row>
    <row r="22" spans="1:9" ht="24.95" hidden="1" customHeight="1" x14ac:dyDescent="0.25">
      <c r="A22" s="51"/>
      <c r="B22" s="131" t="s">
        <v>97</v>
      </c>
      <c r="C22" s="132"/>
      <c r="D22" s="132"/>
      <c r="E22" s="132"/>
      <c r="F22" s="132"/>
      <c r="G22" s="132"/>
      <c r="H22" s="132"/>
      <c r="I22" s="133"/>
    </row>
    <row r="23" spans="1:9" ht="150" hidden="1" customHeight="1" x14ac:dyDescent="0.25">
      <c r="A23" s="51"/>
      <c r="B23" s="134"/>
      <c r="C23" s="134"/>
      <c r="D23" s="134"/>
      <c r="E23" s="134"/>
      <c r="F23" s="134"/>
      <c r="G23" s="134"/>
      <c r="H23" s="134"/>
      <c r="I23" s="134"/>
    </row>
    <row r="24" spans="1:9" ht="15" hidden="1" customHeight="1" x14ac:dyDescent="0.25">
      <c r="A24" s="51"/>
    </row>
    <row r="25" spans="1:9" ht="24.95" hidden="1" customHeight="1" x14ac:dyDescent="0.25">
      <c r="A25" s="51"/>
      <c r="B25" s="131" t="s">
        <v>98</v>
      </c>
      <c r="C25" s="132"/>
      <c r="D25" s="132"/>
      <c r="E25" s="132"/>
      <c r="F25" s="132"/>
      <c r="G25" s="132"/>
      <c r="H25" s="132"/>
      <c r="I25" s="133"/>
    </row>
    <row r="26" spans="1:9" ht="150" hidden="1" customHeight="1" x14ac:dyDescent="0.25">
      <c r="A26" s="51"/>
      <c r="B26" s="134"/>
      <c r="C26" s="134"/>
      <c r="D26" s="134"/>
      <c r="E26" s="134"/>
      <c r="F26" s="134"/>
      <c r="G26" s="134"/>
      <c r="H26" s="134"/>
      <c r="I26" s="134"/>
    </row>
    <row r="27" spans="1:9" ht="15" hidden="1" customHeight="1" x14ac:dyDescent="0.25">
      <c r="A27" s="51"/>
    </row>
    <row r="28" spans="1:9" ht="24.95" hidden="1" customHeight="1" x14ac:dyDescent="0.25">
      <c r="A28" s="51"/>
      <c r="B28" s="131" t="s">
        <v>99</v>
      </c>
      <c r="C28" s="132"/>
      <c r="D28" s="132"/>
      <c r="E28" s="132"/>
      <c r="F28" s="132"/>
      <c r="G28" s="132"/>
      <c r="H28" s="132"/>
      <c r="I28" s="133"/>
    </row>
    <row r="29" spans="1:9" ht="15" hidden="1" customHeight="1" x14ac:dyDescent="0.25">
      <c r="A29" s="51"/>
    </row>
    <row r="30" spans="1:9" ht="20.100000000000001" hidden="1" customHeight="1" x14ac:dyDescent="0.25">
      <c r="A30" s="51"/>
      <c r="B30" s="97" t="s">
        <v>55</v>
      </c>
      <c r="C30" s="98"/>
      <c r="D30" s="98"/>
      <c r="E30" s="98"/>
      <c r="F30" s="98"/>
      <c r="G30" s="98"/>
      <c r="H30" s="98"/>
      <c r="I30" s="99"/>
    </row>
    <row r="31" spans="1:9" ht="30" hidden="1" customHeight="1" x14ac:dyDescent="0.25">
      <c r="B31" s="128" t="s">
        <v>100</v>
      </c>
      <c r="C31" s="129"/>
      <c r="D31" s="130"/>
      <c r="E31" s="53" t="s">
        <v>84</v>
      </c>
      <c r="F31" s="8" t="s">
        <v>19</v>
      </c>
      <c r="G31" s="8" t="s">
        <v>20</v>
      </c>
      <c r="H31" s="8" t="s">
        <v>53</v>
      </c>
      <c r="I31" s="53" t="s">
        <v>4</v>
      </c>
    </row>
    <row r="32" spans="1:9" hidden="1" x14ac:dyDescent="0.25">
      <c r="B32" s="109" t="s">
        <v>101</v>
      </c>
      <c r="C32" s="110"/>
      <c r="D32" s="111"/>
      <c r="E32" s="1" t="s">
        <v>26</v>
      </c>
      <c r="F32" s="1">
        <v>150</v>
      </c>
      <c r="G32" s="1">
        <v>100</v>
      </c>
      <c r="H32" s="57">
        <f>IF(E32="","",VLOOKUP(E32,$B$80:$D$105,3,FALSE))</f>
        <v>12.6</v>
      </c>
      <c r="I32" s="50">
        <f>IFERROR(IF(AND(F32="",G32=""),"",((F32*H32*$C$12)+(G32*H32*0.75*$C$12))),"")</f>
        <v>0</v>
      </c>
    </row>
    <row r="33" spans="2:10" hidden="1" x14ac:dyDescent="0.25">
      <c r="B33" s="109"/>
      <c r="C33" s="110"/>
      <c r="D33" s="111"/>
      <c r="E33" s="72" t="str">
        <f>IF(OR($E$32="",B33=""),"",$E$32)</f>
        <v/>
      </c>
      <c r="F33" s="1"/>
      <c r="G33" s="1"/>
      <c r="H33" s="67" t="str">
        <f t="shared" ref="H33:H37" si="0">IF(E33="","",VLOOKUP(E33,$B$80:$D$105,3,FALSE))</f>
        <v/>
      </c>
      <c r="I33" s="50" t="str">
        <f t="shared" ref="I33:I37" si="1">IFERROR(IF(AND(F33="",G33=""),"",((F33*H33*$C$12)+(G33*H33*0.75*$C$12))),"")</f>
        <v/>
      </c>
    </row>
    <row r="34" spans="2:10" hidden="1" x14ac:dyDescent="0.25">
      <c r="B34" s="109"/>
      <c r="C34" s="110"/>
      <c r="D34" s="111"/>
      <c r="E34" s="72" t="str">
        <f t="shared" ref="E34:E37" si="2">IF(OR($E$32="",B34=""),"",$E$32)</f>
        <v/>
      </c>
      <c r="F34" s="1"/>
      <c r="G34" s="1"/>
      <c r="H34" s="67" t="str">
        <f t="shared" si="0"/>
        <v/>
      </c>
      <c r="I34" s="50" t="str">
        <f t="shared" si="1"/>
        <v/>
      </c>
    </row>
    <row r="35" spans="2:10" hidden="1" x14ac:dyDescent="0.25">
      <c r="B35" s="109"/>
      <c r="C35" s="110"/>
      <c r="D35" s="111"/>
      <c r="E35" s="72" t="str">
        <f t="shared" si="2"/>
        <v/>
      </c>
      <c r="F35" s="1"/>
      <c r="G35" s="1"/>
      <c r="H35" s="67" t="str">
        <f t="shared" si="0"/>
        <v/>
      </c>
      <c r="I35" s="50" t="str">
        <f t="shared" si="1"/>
        <v/>
      </c>
    </row>
    <row r="36" spans="2:10" hidden="1" x14ac:dyDescent="0.25">
      <c r="B36" s="109"/>
      <c r="C36" s="110"/>
      <c r="D36" s="111"/>
      <c r="E36" s="72" t="str">
        <f t="shared" si="2"/>
        <v/>
      </c>
      <c r="F36" s="1"/>
      <c r="G36" s="1"/>
      <c r="H36" s="67" t="str">
        <f t="shared" si="0"/>
        <v/>
      </c>
      <c r="I36" s="50" t="str">
        <f t="shared" si="1"/>
        <v/>
      </c>
    </row>
    <row r="37" spans="2:10" hidden="1" x14ac:dyDescent="0.25">
      <c r="B37" s="109"/>
      <c r="C37" s="110"/>
      <c r="D37" s="111"/>
      <c r="E37" s="72" t="str">
        <f t="shared" si="2"/>
        <v/>
      </c>
      <c r="F37" s="1"/>
      <c r="G37" s="1"/>
      <c r="H37" s="67" t="str">
        <f t="shared" si="0"/>
        <v/>
      </c>
      <c r="I37" s="50" t="str">
        <f t="shared" si="1"/>
        <v/>
      </c>
    </row>
    <row r="38" spans="2:10" hidden="1" x14ac:dyDescent="0.25">
      <c r="F38" s="67">
        <f>SUM(F32:F37)</f>
        <v>150</v>
      </c>
      <c r="G38" s="67">
        <f>SUM(G32:G37)</f>
        <v>100</v>
      </c>
      <c r="H38" s="4"/>
      <c r="I38" s="50">
        <f>IF(I32="","",SUM(I32:I37))</f>
        <v>0</v>
      </c>
    </row>
    <row r="39" spans="2:10" hidden="1" x14ac:dyDescent="0.25">
      <c r="F39" s="113">
        <f>F32+G32</f>
        <v>250</v>
      </c>
      <c r="G39" s="113"/>
    </row>
    <row r="40" spans="2:10" hidden="1" x14ac:dyDescent="0.25"/>
    <row r="41" spans="2:10" ht="20.100000000000001" hidden="1" customHeight="1" x14ac:dyDescent="0.25">
      <c r="B41" s="97" t="s">
        <v>30</v>
      </c>
      <c r="C41" s="98"/>
      <c r="D41" s="98"/>
      <c r="E41" s="98"/>
      <c r="F41" s="98"/>
      <c r="G41" s="98"/>
      <c r="H41" s="98"/>
      <c r="I41" s="99"/>
    </row>
    <row r="42" spans="2:10" ht="30" hidden="1" customHeight="1" x14ac:dyDescent="0.25">
      <c r="B42" s="103" t="s">
        <v>13</v>
      </c>
      <c r="C42" s="103"/>
      <c r="D42" s="103"/>
      <c r="E42" s="103"/>
      <c r="F42" s="8" t="s">
        <v>19</v>
      </c>
      <c r="G42" s="8" t="s">
        <v>20</v>
      </c>
      <c r="H42" s="56" t="s">
        <v>22</v>
      </c>
      <c r="I42" s="53" t="s">
        <v>4</v>
      </c>
    </row>
    <row r="43" spans="2:10" hidden="1" x14ac:dyDescent="0.25">
      <c r="B43" s="104" t="s">
        <v>18</v>
      </c>
      <c r="C43" s="105"/>
      <c r="D43" s="105"/>
      <c r="E43" s="106"/>
      <c r="F43" s="1">
        <v>5</v>
      </c>
      <c r="G43" s="1">
        <v>5</v>
      </c>
      <c r="H43" s="55" t="e">
        <f>IF(I32="","",I38/(F38+G38)/C12)</f>
        <v>#DIV/0!</v>
      </c>
      <c r="I43" s="50" t="e">
        <f>IF(I32="","",((F43*H43*C12)+(G43*H43*0.75*C12)))</f>
        <v>#DIV/0!</v>
      </c>
      <c r="J43" s="55">
        <f>IF((F32+G32)&lt;50,2,IF((F32+G32)&lt;100,5,IF((F32+G32)&gt;=100,10)))</f>
        <v>10</v>
      </c>
    </row>
    <row r="44" spans="2:10" hidden="1" x14ac:dyDescent="0.25">
      <c r="F44" s="112" t="str">
        <f>IF(B32="","",IF((F43+G43)=J43,"","Nº horas incorrecto"))</f>
        <v/>
      </c>
      <c r="G44" s="112"/>
    </row>
    <row r="45" spans="2:10" hidden="1" x14ac:dyDescent="0.25">
      <c r="F45" s="68"/>
      <c r="G45" s="68"/>
    </row>
    <row r="46" spans="2:10" s="73" customFormat="1" ht="24.95" hidden="1" customHeight="1" x14ac:dyDescent="0.25">
      <c r="F46" s="74"/>
      <c r="G46" s="74"/>
      <c r="H46" s="115" t="s">
        <v>93</v>
      </c>
      <c r="I46" s="116"/>
    </row>
    <row r="47" spans="2:10" s="73" customFormat="1" ht="24.95" hidden="1" customHeight="1" x14ac:dyDescent="0.25">
      <c r="B47" s="74"/>
      <c r="C47" s="74"/>
      <c r="D47" s="74"/>
      <c r="E47" s="74"/>
      <c r="F47" s="74"/>
      <c r="G47" s="74"/>
      <c r="H47" s="117" t="e">
        <f>IF(I32="","",I32+I43)</f>
        <v>#DIV/0!</v>
      </c>
      <c r="I47" s="118"/>
    </row>
    <row r="48" spans="2:10" ht="18.75" hidden="1" customHeight="1" x14ac:dyDescent="0.25">
      <c r="B48" s="49"/>
      <c r="C48" s="49"/>
      <c r="D48" s="49"/>
      <c r="E48" s="49"/>
      <c r="F48" s="49"/>
      <c r="G48" s="49"/>
      <c r="H48" s="121" t="e">
        <f>IF(H47="","",IF(H47&lt;=50000,"","Subvencion máxima de 50.000 euros"))</f>
        <v>#DIV/0!</v>
      </c>
      <c r="I48" s="121"/>
    </row>
    <row r="49" spans="2:12" hidden="1" x14ac:dyDescent="0.25"/>
    <row r="50" spans="2:12" ht="30" hidden="1" customHeight="1" x14ac:dyDescent="0.25">
      <c r="B50" s="96" t="s">
        <v>87</v>
      </c>
      <c r="C50" s="96"/>
      <c r="D50" s="96"/>
      <c r="E50" s="96"/>
      <c r="F50" s="96"/>
      <c r="G50" s="96"/>
      <c r="H50" s="96"/>
      <c r="I50" s="96"/>
    </row>
    <row r="51" spans="2:12" hidden="1" x14ac:dyDescent="0.25">
      <c r="F51" s="4"/>
      <c r="G51" s="4"/>
      <c r="H51" s="4"/>
      <c r="I51" s="4"/>
    </row>
    <row r="52" spans="2:12" hidden="1" x14ac:dyDescent="0.25">
      <c r="B52" s="48" t="s">
        <v>92</v>
      </c>
      <c r="C52" s="119"/>
      <c r="D52" s="119"/>
      <c r="E52" s="119"/>
      <c r="F52" s="4"/>
      <c r="G52" s="4"/>
      <c r="H52" s="4"/>
      <c r="I52" s="4"/>
    </row>
    <row r="53" spans="2:12" hidden="1" x14ac:dyDescent="0.25">
      <c r="F53" s="4"/>
      <c r="G53" s="4"/>
      <c r="H53" s="4"/>
      <c r="I53" s="4"/>
    </row>
    <row r="54" spans="2:12" ht="20.100000000000001" hidden="1" customHeight="1" x14ac:dyDescent="0.25">
      <c r="B54" s="97" t="s">
        <v>55</v>
      </c>
      <c r="C54" s="98"/>
      <c r="D54" s="98"/>
      <c r="E54" s="98"/>
      <c r="F54" s="98"/>
      <c r="G54" s="98"/>
      <c r="H54" s="98"/>
      <c r="I54" s="99"/>
    </row>
    <row r="55" spans="2:12" ht="30" hidden="1" customHeight="1" x14ac:dyDescent="0.25">
      <c r="B55" s="7" t="s">
        <v>1</v>
      </c>
      <c r="C55" s="7" t="s">
        <v>11</v>
      </c>
      <c r="D55" s="7" t="s">
        <v>0</v>
      </c>
      <c r="E55" s="7" t="s">
        <v>12</v>
      </c>
      <c r="F55" s="8" t="s">
        <v>19</v>
      </c>
      <c r="G55" s="8" t="s">
        <v>20</v>
      </c>
      <c r="H55" s="8" t="s">
        <v>53</v>
      </c>
      <c r="I55" s="53" t="s">
        <v>4</v>
      </c>
    </row>
    <row r="56" spans="2:12" hidden="1" x14ac:dyDescent="0.25">
      <c r="B56" s="38"/>
      <c r="C56" s="38"/>
      <c r="D56" s="38"/>
      <c r="E56" s="38"/>
      <c r="F56" s="32"/>
      <c r="G56" s="32"/>
      <c r="H56" s="33" t="str">
        <f>IFERROR(IF(B56="","",VLOOKUP(J56,$C$80:$D$105,2,FALSE)),"Revisar código especialidad")</f>
        <v/>
      </c>
      <c r="I56" s="34">
        <f>IF(OR(AND(F56="",G56=""),H56=""),0,((F56*H56*$C$12)+(G56*H56*0.75*$C$12)))</f>
        <v>0</v>
      </c>
      <c r="J56" s="55" t="str">
        <f>LEFT(B56,3)</f>
        <v/>
      </c>
      <c r="K56" s="60" t="str">
        <f>IF(F56="","",F56*H56*$C$12)</f>
        <v/>
      </c>
      <c r="L56" s="60" t="str">
        <f>IF(G56="","",G56*H56*0.75*$C$12)</f>
        <v/>
      </c>
    </row>
    <row r="57" spans="2:12" hidden="1" x14ac:dyDescent="0.25">
      <c r="B57" s="38"/>
      <c r="C57" s="38"/>
      <c r="D57" s="38"/>
      <c r="E57" s="38"/>
      <c r="F57" s="32"/>
      <c r="G57" s="32"/>
      <c r="H57" s="33" t="str">
        <f t="shared" ref="H57:H62" si="3">IFERROR(IF(B57="","",VLOOKUP(J57,$C$80:$D$105,2,FALSE)),"Revisar código especialidad")</f>
        <v/>
      </c>
      <c r="I57" s="34">
        <f t="shared" ref="I57:I62" si="4">IF(OR(AND(F57="",G57=""),H57=""),0,((F57*H57*$C$12)+(G57*H57*0.75*$C$12)))</f>
        <v>0</v>
      </c>
      <c r="J57" s="55" t="str">
        <f t="shared" ref="J57:J62" si="5">LEFT(B57,3)</f>
        <v/>
      </c>
      <c r="K57" s="60" t="str">
        <f t="shared" ref="K57:K62" si="6">IF(F57="","",F57*H57*$C$12)</f>
        <v/>
      </c>
      <c r="L57" s="60" t="str">
        <f t="shared" ref="L57:L62" si="7">IF(G57="","",G57*H57*0.75*$C$12)</f>
        <v/>
      </c>
    </row>
    <row r="58" spans="2:12" hidden="1" x14ac:dyDescent="0.25">
      <c r="B58" s="38"/>
      <c r="C58" s="38"/>
      <c r="D58" s="38"/>
      <c r="E58" s="38"/>
      <c r="F58" s="32"/>
      <c r="G58" s="32"/>
      <c r="H58" s="33" t="str">
        <f t="shared" si="3"/>
        <v/>
      </c>
      <c r="I58" s="34">
        <f t="shared" si="4"/>
        <v>0</v>
      </c>
      <c r="J58" s="55" t="str">
        <f t="shared" si="5"/>
        <v/>
      </c>
      <c r="K58" s="60" t="str">
        <f t="shared" si="6"/>
        <v/>
      </c>
      <c r="L58" s="60" t="str">
        <f t="shared" si="7"/>
        <v/>
      </c>
    </row>
    <row r="59" spans="2:12" hidden="1" x14ac:dyDescent="0.25">
      <c r="B59" s="38"/>
      <c r="C59" s="38"/>
      <c r="D59" s="38"/>
      <c r="E59" s="38"/>
      <c r="F59" s="32"/>
      <c r="G59" s="32"/>
      <c r="H59" s="33" t="str">
        <f t="shared" si="3"/>
        <v/>
      </c>
      <c r="I59" s="34">
        <f t="shared" si="4"/>
        <v>0</v>
      </c>
      <c r="J59" s="55" t="str">
        <f t="shared" si="5"/>
        <v/>
      </c>
      <c r="K59" s="60" t="str">
        <f t="shared" si="6"/>
        <v/>
      </c>
      <c r="L59" s="60" t="str">
        <f t="shared" si="7"/>
        <v/>
      </c>
    </row>
    <row r="60" spans="2:12" hidden="1" x14ac:dyDescent="0.25">
      <c r="B60" s="38"/>
      <c r="C60" s="38"/>
      <c r="D60" s="38"/>
      <c r="E60" s="38"/>
      <c r="F60" s="32"/>
      <c r="G60" s="32"/>
      <c r="H60" s="33" t="str">
        <f t="shared" si="3"/>
        <v/>
      </c>
      <c r="I60" s="34">
        <f t="shared" si="4"/>
        <v>0</v>
      </c>
      <c r="J60" s="55" t="str">
        <f t="shared" si="5"/>
        <v/>
      </c>
      <c r="K60" s="60" t="str">
        <f t="shared" si="6"/>
        <v/>
      </c>
      <c r="L60" s="60" t="str">
        <f t="shared" si="7"/>
        <v/>
      </c>
    </row>
    <row r="61" spans="2:12" hidden="1" x14ac:dyDescent="0.25">
      <c r="B61" s="38"/>
      <c r="C61" s="38"/>
      <c r="D61" s="38"/>
      <c r="E61" s="38"/>
      <c r="F61" s="32"/>
      <c r="G61" s="32"/>
      <c r="H61" s="33" t="str">
        <f t="shared" si="3"/>
        <v/>
      </c>
      <c r="I61" s="34">
        <f t="shared" si="4"/>
        <v>0</v>
      </c>
      <c r="J61" s="55" t="str">
        <f t="shared" si="5"/>
        <v/>
      </c>
      <c r="K61" s="60" t="str">
        <f t="shared" si="6"/>
        <v/>
      </c>
      <c r="L61" s="60" t="str">
        <f t="shared" si="7"/>
        <v/>
      </c>
    </row>
    <row r="62" spans="2:12" hidden="1" x14ac:dyDescent="0.25">
      <c r="B62" s="38"/>
      <c r="C62" s="38"/>
      <c r="D62" s="38"/>
      <c r="E62" s="38"/>
      <c r="F62" s="32"/>
      <c r="G62" s="32"/>
      <c r="H62" s="33" t="str">
        <f t="shared" si="3"/>
        <v/>
      </c>
      <c r="I62" s="34">
        <f t="shared" si="4"/>
        <v>0</v>
      </c>
      <c r="J62" s="55" t="str">
        <f t="shared" si="5"/>
        <v/>
      </c>
      <c r="K62" s="60" t="str">
        <f t="shared" si="6"/>
        <v/>
      </c>
      <c r="L62" s="60" t="str">
        <f t="shared" si="7"/>
        <v/>
      </c>
    </row>
    <row r="63" spans="2:12" hidden="1" x14ac:dyDescent="0.25">
      <c r="B63" s="4"/>
      <c r="C63" s="4"/>
      <c r="D63" s="4"/>
      <c r="E63" s="4"/>
      <c r="F63" s="42">
        <f>SUM(F56:F62)</f>
        <v>0</v>
      </c>
      <c r="G63" s="42">
        <f>SUM(G56:G62)</f>
        <v>0</v>
      </c>
      <c r="H63" s="11"/>
      <c r="I63" s="10">
        <f>I56+I57+I58+I59+I60+I61+I62</f>
        <v>0</v>
      </c>
      <c r="K63" s="60">
        <f>SUM(K56:K62)</f>
        <v>0</v>
      </c>
      <c r="L63" s="60">
        <f>SUM(L56:L62)</f>
        <v>0</v>
      </c>
    </row>
    <row r="64" spans="2:12" hidden="1" x14ac:dyDescent="0.25">
      <c r="B64" s="4"/>
      <c r="C64" s="4"/>
      <c r="D64" s="4"/>
      <c r="E64" s="4"/>
      <c r="F64" s="122" t="str">
        <f>IF(F65&gt;250,"Máximo 250 horas subvencionables","")</f>
        <v/>
      </c>
      <c r="G64" s="122"/>
      <c r="H64" s="11"/>
      <c r="I64" s="14"/>
      <c r="K64" s="113" t="str">
        <f>IF(OR(AND(F56="",G56=""),H56=""),"",K63/(K63+L63))</f>
        <v/>
      </c>
      <c r="L64" s="113"/>
    </row>
    <row r="65" spans="2:10" hidden="1" x14ac:dyDescent="0.25">
      <c r="B65" s="4"/>
      <c r="C65" s="4"/>
      <c r="D65" s="4"/>
      <c r="E65" s="4"/>
      <c r="F65" s="107">
        <f>F63+G63</f>
        <v>0</v>
      </c>
      <c r="G65" s="107"/>
      <c r="H65" s="11"/>
      <c r="I65" s="14"/>
    </row>
    <row r="66" spans="2:10" hidden="1" x14ac:dyDescent="0.25">
      <c r="B66" s="4"/>
      <c r="C66" s="4"/>
      <c r="D66" s="4"/>
      <c r="E66" s="4"/>
      <c r="F66" s="4"/>
      <c r="G66" s="4"/>
      <c r="H66" s="4"/>
      <c r="I66" s="4"/>
    </row>
    <row r="67" spans="2:10" ht="20.100000000000001" hidden="1" customHeight="1" x14ac:dyDescent="0.25">
      <c r="B67" s="97" t="s">
        <v>30</v>
      </c>
      <c r="C67" s="98"/>
      <c r="D67" s="98"/>
      <c r="E67" s="98"/>
      <c r="F67" s="98"/>
      <c r="G67" s="98"/>
      <c r="H67" s="98"/>
      <c r="I67" s="99"/>
    </row>
    <row r="68" spans="2:10" ht="30" hidden="1" customHeight="1" x14ac:dyDescent="0.25">
      <c r="B68" s="103" t="s">
        <v>13</v>
      </c>
      <c r="C68" s="103"/>
      <c r="D68" s="103"/>
      <c r="E68" s="103"/>
      <c r="F68" s="8" t="s">
        <v>19</v>
      </c>
      <c r="G68" s="8" t="s">
        <v>20</v>
      </c>
      <c r="H68" s="56" t="s">
        <v>22</v>
      </c>
      <c r="I68" s="53" t="s">
        <v>4</v>
      </c>
      <c r="J68" s="55" t="s">
        <v>2</v>
      </c>
    </row>
    <row r="69" spans="2:10" hidden="1" x14ac:dyDescent="0.25">
      <c r="B69" s="104" t="s">
        <v>18</v>
      </c>
      <c r="C69" s="105"/>
      <c r="D69" s="105"/>
      <c r="E69" s="106"/>
      <c r="F69" s="1"/>
      <c r="G69" s="1"/>
      <c r="H69" s="12" t="str">
        <f>IF(I56=0,"",I63/(G63+F63)/C12)</f>
        <v/>
      </c>
      <c r="I69" s="10" t="str">
        <f>IF(I56=0,"",(F69*H69*C12)+(G69*H69*C12))</f>
        <v/>
      </c>
      <c r="J69" s="42" t="str">
        <f>IF(F56="","",IF((F63+G63)&lt;50,2,IF(AND((F63+G63)&gt;=50,(F63+G63)&lt;100),5,10)))</f>
        <v/>
      </c>
    </row>
    <row r="70" spans="2:10" hidden="1" x14ac:dyDescent="0.25">
      <c r="B70" s="54"/>
      <c r="C70" s="54"/>
      <c r="D70" s="54"/>
      <c r="E70" s="54"/>
      <c r="F70" s="107" t="str">
        <f>IF(B56="","",IF(J69="","",IF((F69+G69)=J69,"","Nº horas incorrecto")))</f>
        <v/>
      </c>
      <c r="G70" s="107"/>
      <c r="H70" s="13"/>
      <c r="I70" s="14"/>
    </row>
    <row r="71" spans="2:10" hidden="1" x14ac:dyDescent="0.25">
      <c r="B71" s="4"/>
      <c r="C71" s="4"/>
      <c r="D71" s="4"/>
      <c r="E71" s="4"/>
      <c r="F71" s="4"/>
      <c r="G71" s="4"/>
      <c r="H71" s="4"/>
      <c r="I71" s="4"/>
    </row>
    <row r="72" spans="2:10" hidden="1" x14ac:dyDescent="0.25">
      <c r="B72" s="4"/>
      <c r="C72" s="4"/>
      <c r="D72" s="4"/>
      <c r="E72" s="4"/>
      <c r="F72" s="15" t="s">
        <v>24</v>
      </c>
      <c r="G72" s="15" t="s">
        <v>25</v>
      </c>
      <c r="H72" s="55" t="s">
        <v>15</v>
      </c>
      <c r="I72" s="55" t="s">
        <v>4</v>
      </c>
    </row>
    <row r="73" spans="2:10" hidden="1" x14ac:dyDescent="0.25">
      <c r="B73" s="4"/>
      <c r="F73" s="17">
        <f>IF(AND(F56="",G56=""),0,F63+F69)</f>
        <v>0</v>
      </c>
      <c r="G73" s="17" t="str">
        <f>IF(AND(F56="",G56=""),"",G63+G69)</f>
        <v/>
      </c>
      <c r="H73" s="18" t="str">
        <f>IF(H69="","",H69)</f>
        <v/>
      </c>
      <c r="I73" s="19" t="str">
        <f>IF(I56=0,"",I63+I69)</f>
        <v/>
      </c>
    </row>
    <row r="74" spans="2:10" hidden="1" x14ac:dyDescent="0.25">
      <c r="B74" s="21"/>
      <c r="C74" s="20"/>
      <c r="D74" s="20"/>
      <c r="E74" s="20"/>
      <c r="F74" s="22"/>
      <c r="G74" s="22"/>
      <c r="H74" s="23"/>
      <c r="I74" s="24"/>
    </row>
    <row r="75" spans="2:10" ht="20.100000000000001" hidden="1" customHeight="1" x14ac:dyDescent="0.25">
      <c r="B75" s="97" t="s">
        <v>94</v>
      </c>
      <c r="C75" s="98"/>
      <c r="D75" s="98"/>
      <c r="E75" s="98"/>
      <c r="F75" s="98"/>
      <c r="G75" s="98"/>
      <c r="H75" s="98"/>
      <c r="I75" s="99"/>
    </row>
    <row r="76" spans="2:10" hidden="1" x14ac:dyDescent="0.25">
      <c r="B76" s="97" t="s">
        <v>92</v>
      </c>
      <c r="C76" s="99"/>
      <c r="D76" s="58" t="s">
        <v>3</v>
      </c>
      <c r="E76" s="59" t="s">
        <v>14</v>
      </c>
      <c r="F76" s="120" t="s">
        <v>2</v>
      </c>
      <c r="G76" s="120"/>
      <c r="H76" s="59" t="s">
        <v>15</v>
      </c>
      <c r="I76" s="59" t="s">
        <v>16</v>
      </c>
    </row>
    <row r="77" spans="2:10" ht="18.75" hidden="1" x14ac:dyDescent="0.25">
      <c r="B77" s="123" t="str">
        <f>IF(C52="","",C52)</f>
        <v/>
      </c>
      <c r="C77" s="124"/>
      <c r="D77" s="52" t="str">
        <f>IF(AND(F56="",G56=""),"",IF((F73/(F73+G73))&lt;=0.2,"TELEFORMACIÓN",IF((F73/(F73+G73))=1,"PRESENCIAL","MIXTA")))</f>
        <v/>
      </c>
      <c r="E77" s="52" t="str">
        <f>IF(C12="","",C12)</f>
        <v/>
      </c>
      <c r="F77" s="102" t="str">
        <f>IF(AND(F56="",G56=""),"",F63+G63+F69)</f>
        <v/>
      </c>
      <c r="G77" s="102"/>
      <c r="H77" s="26" t="str">
        <f>IF(I56=0,"",H69)</f>
        <v/>
      </c>
      <c r="I77" s="27" t="str">
        <f>IF(I56=0,"",E77*F77*H77)</f>
        <v/>
      </c>
    </row>
    <row r="78" spans="2:10" hidden="1" x14ac:dyDescent="0.25">
      <c r="B78" s="114" t="str">
        <f>IF(K64="","",IF(K64&lt;=0.2,"Al menos 20% del importe de la subvención del itinerario debe ser en presencial",""))</f>
        <v/>
      </c>
      <c r="C78" s="114"/>
      <c r="D78" s="114"/>
      <c r="H78" s="112" t="str">
        <f>IF(I77="","",IF(I77&gt;50000,"Subvención máxima de 50.000 euros",""))</f>
        <v/>
      </c>
      <c r="I78" s="112"/>
    </row>
    <row r="79" spans="2:10" ht="20.100000000000001" hidden="1" customHeight="1" x14ac:dyDescent="0.25">
      <c r="B79" s="114"/>
      <c r="C79" s="114"/>
      <c r="D79" s="114"/>
    </row>
    <row r="80" spans="2:10" hidden="1" x14ac:dyDescent="0.25">
      <c r="B80" s="61" t="s">
        <v>32</v>
      </c>
      <c r="C80" s="61" t="s">
        <v>56</v>
      </c>
      <c r="D80" s="62">
        <v>10.85</v>
      </c>
    </row>
    <row r="81" spans="2:4" hidden="1" x14ac:dyDescent="0.25">
      <c r="B81" s="29" t="s">
        <v>33</v>
      </c>
      <c r="C81" s="29" t="s">
        <v>57</v>
      </c>
      <c r="D81" s="31">
        <v>9.8800000000000008</v>
      </c>
    </row>
    <row r="82" spans="2:4" hidden="1" x14ac:dyDescent="0.25">
      <c r="B82" s="29" t="s">
        <v>26</v>
      </c>
      <c r="C82" s="29" t="s">
        <v>58</v>
      </c>
      <c r="D82" s="31">
        <v>12.6</v>
      </c>
    </row>
    <row r="83" spans="2:4" hidden="1" x14ac:dyDescent="0.25">
      <c r="B83" s="29" t="s">
        <v>34</v>
      </c>
      <c r="C83" s="29" t="s">
        <v>59</v>
      </c>
      <c r="D83" s="31">
        <v>11.8</v>
      </c>
    </row>
    <row r="84" spans="2:4" hidden="1" x14ac:dyDescent="0.25">
      <c r="B84" s="29" t="s">
        <v>35</v>
      </c>
      <c r="C84" s="29" t="s">
        <v>60</v>
      </c>
      <c r="D84" s="31">
        <v>11.8</v>
      </c>
    </row>
    <row r="85" spans="2:4" hidden="1" x14ac:dyDescent="0.25">
      <c r="B85" s="29" t="s">
        <v>36</v>
      </c>
      <c r="C85" s="29" t="s">
        <v>61</v>
      </c>
      <c r="D85" s="31">
        <v>9.89</v>
      </c>
    </row>
    <row r="86" spans="2:4" hidden="1" x14ac:dyDescent="0.25">
      <c r="B86" s="29" t="s">
        <v>37</v>
      </c>
      <c r="C86" s="29" t="s">
        <v>62</v>
      </c>
      <c r="D86" s="31">
        <v>12.17</v>
      </c>
    </row>
    <row r="87" spans="2:4" hidden="1" x14ac:dyDescent="0.25">
      <c r="B87" s="29" t="s">
        <v>38</v>
      </c>
      <c r="C87" s="29" t="s">
        <v>63</v>
      </c>
      <c r="D87" s="31">
        <v>11</v>
      </c>
    </row>
    <row r="88" spans="2:4" hidden="1" x14ac:dyDescent="0.25">
      <c r="B88" s="29" t="s">
        <v>39</v>
      </c>
      <c r="C88" s="29" t="s">
        <v>64</v>
      </c>
      <c r="D88" s="31">
        <v>11.29</v>
      </c>
    </row>
    <row r="89" spans="2:4" hidden="1" x14ac:dyDescent="0.25">
      <c r="B89" s="33" t="s">
        <v>40</v>
      </c>
      <c r="C89" s="33" t="s">
        <v>65</v>
      </c>
      <c r="D89" s="36">
        <v>12.35</v>
      </c>
    </row>
    <row r="90" spans="2:4" hidden="1" x14ac:dyDescent="0.25">
      <c r="B90" s="33" t="s">
        <v>41</v>
      </c>
      <c r="C90" s="33" t="s">
        <v>66</v>
      </c>
      <c r="D90" s="36">
        <v>12.02</v>
      </c>
    </row>
    <row r="91" spans="2:4" hidden="1" x14ac:dyDescent="0.25">
      <c r="B91" s="33" t="s">
        <v>42</v>
      </c>
      <c r="C91" s="33" t="s">
        <v>67</v>
      </c>
      <c r="D91" s="36">
        <v>12.77</v>
      </c>
    </row>
    <row r="92" spans="2:4" hidden="1" x14ac:dyDescent="0.25">
      <c r="B92" s="33" t="s">
        <v>43</v>
      </c>
      <c r="C92" s="33" t="s">
        <v>68</v>
      </c>
      <c r="D92" s="36">
        <v>12.35</v>
      </c>
    </row>
    <row r="93" spans="2:4" hidden="1" x14ac:dyDescent="0.25">
      <c r="B93" s="33" t="s">
        <v>44</v>
      </c>
      <c r="C93" s="33" t="s">
        <v>69</v>
      </c>
      <c r="D93" s="36">
        <v>13.5</v>
      </c>
    </row>
    <row r="94" spans="2:4" hidden="1" x14ac:dyDescent="0.25">
      <c r="B94" s="33" t="s">
        <v>45</v>
      </c>
      <c r="C94" s="33" t="s">
        <v>70</v>
      </c>
      <c r="D94" s="36">
        <v>12.17</v>
      </c>
    </row>
    <row r="95" spans="2:4" hidden="1" x14ac:dyDescent="0.25">
      <c r="B95" s="33" t="s">
        <v>46</v>
      </c>
      <c r="C95" s="33" t="s">
        <v>71</v>
      </c>
      <c r="D95" s="36">
        <v>9.8800000000000008</v>
      </c>
    </row>
    <row r="96" spans="2:4" hidden="1" x14ac:dyDescent="0.25">
      <c r="B96" s="29" t="s">
        <v>47</v>
      </c>
      <c r="C96" s="29" t="s">
        <v>72</v>
      </c>
      <c r="D96" s="31">
        <v>11.49</v>
      </c>
    </row>
    <row r="97" spans="2:4" hidden="1" x14ac:dyDescent="0.25">
      <c r="B97" s="29" t="s">
        <v>27</v>
      </c>
      <c r="C97" s="29" t="s">
        <v>73</v>
      </c>
      <c r="D97" s="31">
        <v>12.17</v>
      </c>
    </row>
    <row r="98" spans="2:4" hidden="1" x14ac:dyDescent="0.25">
      <c r="B98" s="29" t="s">
        <v>28</v>
      </c>
      <c r="C98" s="29" t="s">
        <v>74</v>
      </c>
      <c r="D98" s="31">
        <v>10.71</v>
      </c>
    </row>
    <row r="99" spans="2:4" hidden="1" x14ac:dyDescent="0.25">
      <c r="B99" s="29" t="s">
        <v>29</v>
      </c>
      <c r="C99" s="29" t="s">
        <v>75</v>
      </c>
      <c r="D99" s="31">
        <v>11.97</v>
      </c>
    </row>
    <row r="100" spans="2:4" hidden="1" x14ac:dyDescent="0.25">
      <c r="B100" s="29" t="s">
        <v>48</v>
      </c>
      <c r="C100" s="29" t="s">
        <v>76</v>
      </c>
      <c r="D100" s="31">
        <v>10.71</v>
      </c>
    </row>
    <row r="101" spans="2:4" hidden="1" x14ac:dyDescent="0.25">
      <c r="B101" s="29" t="s">
        <v>49</v>
      </c>
      <c r="C101" s="29" t="s">
        <v>77</v>
      </c>
      <c r="D101" s="31">
        <v>10.71</v>
      </c>
    </row>
    <row r="102" spans="2:4" hidden="1" x14ac:dyDescent="0.25">
      <c r="B102" s="29" t="s">
        <v>50</v>
      </c>
      <c r="C102" s="29" t="s">
        <v>78</v>
      </c>
      <c r="D102" s="31">
        <v>12.35</v>
      </c>
    </row>
    <row r="103" spans="2:4" hidden="1" x14ac:dyDescent="0.25">
      <c r="B103" s="29" t="s">
        <v>51</v>
      </c>
      <c r="C103" s="29" t="s">
        <v>91</v>
      </c>
      <c r="D103" s="31">
        <v>12.47</v>
      </c>
    </row>
    <row r="104" spans="2:4" hidden="1" x14ac:dyDescent="0.25">
      <c r="B104" s="29" t="s">
        <v>88</v>
      </c>
      <c r="C104" s="29" t="s">
        <v>89</v>
      </c>
      <c r="D104" s="31">
        <v>9.8800000000000008</v>
      </c>
    </row>
    <row r="105" spans="2:4" hidden="1" x14ac:dyDescent="0.25">
      <c r="B105" s="55" t="s">
        <v>88</v>
      </c>
      <c r="C105" s="55" t="s">
        <v>90</v>
      </c>
      <c r="D105" s="55">
        <v>9.8800000000000008</v>
      </c>
    </row>
    <row r="106" spans="2:4" hidden="1" x14ac:dyDescent="0.25"/>
    <row r="107" spans="2:4" hidden="1" x14ac:dyDescent="0.25"/>
    <row r="108" spans="2:4" hidden="1" x14ac:dyDescent="0.25"/>
    <row r="109" spans="2:4" hidden="1" x14ac:dyDescent="0.25"/>
    <row r="110" spans="2:4" hidden="1" x14ac:dyDescent="0.25"/>
    <row r="111" spans="2:4" hidden="1" x14ac:dyDescent="0.25"/>
    <row r="112" spans="2:4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</sheetData>
  <sheetProtection password="CC3E" sheet="1" objects="1" scenarios="1"/>
  <mergeCells count="42">
    <mergeCell ref="B41:I41"/>
    <mergeCell ref="B42:E42"/>
    <mergeCell ref="B43:E43"/>
    <mergeCell ref="F44:G44"/>
    <mergeCell ref="B7:E7"/>
    <mergeCell ref="B20:I20"/>
    <mergeCell ref="B30:I30"/>
    <mergeCell ref="B31:D31"/>
    <mergeCell ref="B32:D32"/>
    <mergeCell ref="F39:G39"/>
    <mergeCell ref="B22:I22"/>
    <mergeCell ref="B23:I23"/>
    <mergeCell ref="B25:I25"/>
    <mergeCell ref="B26:I26"/>
    <mergeCell ref="B28:I28"/>
    <mergeCell ref="B37:D37"/>
    <mergeCell ref="B67:I67"/>
    <mergeCell ref="B68:E68"/>
    <mergeCell ref="B69:E69"/>
    <mergeCell ref="F70:G70"/>
    <mergeCell ref="B75:I75"/>
    <mergeCell ref="H78:I78"/>
    <mergeCell ref="K64:L64"/>
    <mergeCell ref="B79:D79"/>
    <mergeCell ref="B78:D78"/>
    <mergeCell ref="H46:I46"/>
    <mergeCell ref="H47:I47"/>
    <mergeCell ref="C52:E52"/>
    <mergeCell ref="B54:I54"/>
    <mergeCell ref="B76:C76"/>
    <mergeCell ref="F76:G76"/>
    <mergeCell ref="B50:I50"/>
    <mergeCell ref="H48:I48"/>
    <mergeCell ref="F65:G65"/>
    <mergeCell ref="F64:G64"/>
    <mergeCell ref="B77:C77"/>
    <mergeCell ref="F77:G77"/>
    <mergeCell ref="B17:E17"/>
    <mergeCell ref="B33:D33"/>
    <mergeCell ref="B34:D34"/>
    <mergeCell ref="B35:D35"/>
    <mergeCell ref="B36:D36"/>
  </mergeCells>
  <conditionalFormatting sqref="F44:G46">
    <cfRule type="cellIs" dxfId="18" priority="10" operator="equal">
      <formula>"Nº horas incorrecto"</formula>
    </cfRule>
  </conditionalFormatting>
  <conditionalFormatting sqref="F70:G70">
    <cfRule type="cellIs" dxfId="17" priority="9" operator="equal">
      <formula>"Nº horas incorrecto"</formula>
    </cfRule>
  </conditionalFormatting>
  <conditionalFormatting sqref="H56:H62">
    <cfRule type="cellIs" dxfId="16" priority="8" operator="equal">
      <formula>"Revisar código especialidad"</formula>
    </cfRule>
  </conditionalFormatting>
  <conditionalFormatting sqref="H48:I48">
    <cfRule type="cellIs" dxfId="15" priority="7" operator="equal">
      <formula>"Subvencion máxima de 50.000 euros"</formula>
    </cfRule>
  </conditionalFormatting>
  <conditionalFormatting sqref="F38:G38">
    <cfRule type="cellIs" dxfId="14" priority="6" operator="equal">
      <formula>"Máximo 250 horas subvencionables"</formula>
    </cfRule>
  </conditionalFormatting>
  <conditionalFormatting sqref="F64:G64">
    <cfRule type="cellIs" dxfId="13" priority="5" operator="equal">
      <formula>"Máximo 250 horas subvencionables"</formula>
    </cfRule>
  </conditionalFormatting>
  <conditionalFormatting sqref="H78:I78">
    <cfRule type="cellIs" dxfId="12" priority="4" operator="equal">
      <formula>"Subvención máxima de 50.000 euros"</formula>
    </cfRule>
  </conditionalFormatting>
  <conditionalFormatting sqref="B79:D79">
    <cfRule type="cellIs" dxfId="11" priority="3" operator="equal">
      <formula>"Al menos 20% del importe de la subvención del itinerario debe ser en presencial"</formula>
    </cfRule>
  </conditionalFormatting>
  <conditionalFormatting sqref="B78:D78">
    <cfRule type="cellIs" dxfId="10" priority="1" operator="equal">
      <formula>"Al menos 20% del importe de la subvención del itinerario debe ser en presencial"</formula>
    </cfRule>
  </conditionalFormatting>
  <dataValidations count="4">
    <dataValidation type="list" allowBlank="1" showInputMessage="1" showErrorMessage="1" error="Elegir 1 opción del desplegable" sqref="C14">
      <formula1>"Especialidad única no catalogada,Itinerario formativo"</formula1>
    </dataValidation>
    <dataValidation type="list" allowBlank="1" showInputMessage="1" showErrorMessage="1" error="Elegir 1 familia del despegable" sqref="E32 E39">
      <formula1>$B$80:$B$105</formula1>
    </dataValidation>
    <dataValidation type="list" allowBlank="1" showInputMessage="1" showErrorMessage="1" error="Elegir una opción del despegable" sqref="C24:C28 E44:E46 F20:F21 C20:C21 F24:F28">
      <formula1>"a) PROGRAMA DEL ANEXO,b) ESPECIALIDAD ÚNICA NO CATALOGADA,c) ITINERARIO FORMATICO"</formula1>
    </dataValidation>
    <dataValidation type="list" allowBlank="1" showInputMessage="1" showErrorMessage="1" error="Elegir 1 opción del desplegable" sqref="C13">
      <formula1>"Itinerario formativo,Especialidad única no catalogada"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L72"/>
  <sheetViews>
    <sheetView showGridLines="0" showZeros="0" zoomScaleNormal="100" workbookViewId="0">
      <selection activeCell="C16" sqref="C16:E16"/>
    </sheetView>
  </sheetViews>
  <sheetFormatPr baseColWidth="10" defaultColWidth="11.42578125" defaultRowHeight="15" x14ac:dyDescent="0.25"/>
  <cols>
    <col min="1" max="1" width="11.42578125" style="2"/>
    <col min="2" max="2" width="30.7109375" style="2" customWidth="1"/>
    <col min="3" max="3" width="45.7109375" style="2" customWidth="1"/>
    <col min="4" max="4" width="30.7109375" style="2" customWidth="1"/>
    <col min="5" max="5" width="45.7109375" style="2" customWidth="1"/>
    <col min="6" max="6" width="19" style="2" customWidth="1"/>
    <col min="7" max="7" width="18.42578125" style="2" customWidth="1"/>
    <col min="8" max="8" width="29.28515625" style="2" bestFit="1" customWidth="1"/>
    <col min="9" max="9" width="19.140625" style="2" customWidth="1"/>
    <col min="10" max="10" width="11.42578125" style="2" hidden="1" customWidth="1"/>
    <col min="11" max="11" width="15.5703125" style="4" hidden="1" customWidth="1"/>
    <col min="12" max="12" width="11.42578125" style="4" hidden="1" customWidth="1"/>
    <col min="13" max="16384" width="11.42578125" style="2"/>
  </cols>
  <sheetData>
    <row r="7" spans="2:9" x14ac:dyDescent="0.25">
      <c r="B7" s="86" t="s">
        <v>5</v>
      </c>
      <c r="C7" s="86">
        <f>SOLICITUD!C9</f>
        <v>0</v>
      </c>
      <c r="E7" s="3" t="s">
        <v>10</v>
      </c>
    </row>
    <row r="8" spans="2:9" x14ac:dyDescent="0.25">
      <c r="B8" s="86" t="s">
        <v>6</v>
      </c>
      <c r="C8" s="86">
        <f>SOLICITUD!C10</f>
        <v>0</v>
      </c>
      <c r="E8" s="5" t="s">
        <v>9</v>
      </c>
    </row>
    <row r="9" spans="2:9" x14ac:dyDescent="0.25">
      <c r="B9" s="86" t="s">
        <v>8</v>
      </c>
      <c r="C9" s="86">
        <f>SOLICITUD!C11</f>
        <v>0</v>
      </c>
      <c r="E9" s="82" t="s">
        <v>96</v>
      </c>
    </row>
    <row r="10" spans="2:9" x14ac:dyDescent="0.25">
      <c r="B10" s="86" t="s">
        <v>7</v>
      </c>
      <c r="C10" s="86">
        <f>SOLICITUD!C12</f>
        <v>0</v>
      </c>
      <c r="E10" s="9"/>
    </row>
    <row r="11" spans="2:9" x14ac:dyDescent="0.25">
      <c r="B11" s="86" t="s">
        <v>16</v>
      </c>
      <c r="C11" s="92" t="str">
        <f>IF(I44="","",I44)</f>
        <v/>
      </c>
    </row>
    <row r="14" spans="2:9" ht="30" customHeight="1" x14ac:dyDescent="0.25">
      <c r="B14" s="96" t="s">
        <v>87</v>
      </c>
      <c r="C14" s="96"/>
      <c r="D14" s="96"/>
      <c r="E14" s="96"/>
      <c r="F14" s="96"/>
      <c r="G14" s="96"/>
      <c r="H14" s="96"/>
      <c r="I14" s="96"/>
    </row>
    <row r="15" spans="2:9" x14ac:dyDescent="0.25">
      <c r="F15" s="4"/>
      <c r="G15" s="4"/>
      <c r="H15" s="4"/>
      <c r="I15" s="4"/>
    </row>
    <row r="16" spans="2:9" x14ac:dyDescent="0.25">
      <c r="B16" s="48" t="s">
        <v>92</v>
      </c>
      <c r="C16" s="119"/>
      <c r="D16" s="119"/>
      <c r="E16" s="119"/>
      <c r="F16" s="4"/>
      <c r="G16" s="4"/>
      <c r="H16" s="4"/>
      <c r="I16" s="4"/>
    </row>
    <row r="17" spans="2:12" x14ac:dyDescent="0.25">
      <c r="F17" s="4"/>
      <c r="G17" s="4"/>
      <c r="H17" s="4"/>
      <c r="I17" s="4"/>
    </row>
    <row r="18" spans="2:12" ht="20.100000000000001" customHeight="1" x14ac:dyDescent="0.25">
      <c r="B18" s="97" t="s">
        <v>55</v>
      </c>
      <c r="C18" s="98"/>
      <c r="D18" s="98"/>
      <c r="E18" s="98"/>
      <c r="F18" s="98"/>
      <c r="G18" s="98"/>
      <c r="H18" s="98"/>
      <c r="I18" s="99"/>
    </row>
    <row r="19" spans="2:12" ht="30" customHeight="1" x14ac:dyDescent="0.25">
      <c r="B19" s="7" t="s">
        <v>1</v>
      </c>
      <c r="C19" s="7" t="s">
        <v>11</v>
      </c>
      <c r="D19" s="7" t="s">
        <v>0</v>
      </c>
      <c r="E19" s="7" t="s">
        <v>12</v>
      </c>
      <c r="F19" s="8" t="s">
        <v>19</v>
      </c>
      <c r="G19" s="8" t="s">
        <v>20</v>
      </c>
      <c r="H19" s="8" t="s">
        <v>53</v>
      </c>
      <c r="I19" s="65" t="s">
        <v>4</v>
      </c>
    </row>
    <row r="20" spans="2:12" x14ac:dyDescent="0.25">
      <c r="B20" s="38"/>
      <c r="C20" s="38"/>
      <c r="D20" s="38"/>
      <c r="E20" s="38"/>
      <c r="F20" s="32"/>
      <c r="G20" s="32"/>
      <c r="H20" s="33" t="str">
        <f>IFERROR(IF(B20="","",VLOOKUP(J20,$C$47:$D$72,2,FALSE)),"Revisar código especialidad")</f>
        <v/>
      </c>
      <c r="I20" s="34">
        <f>IF(OR(AND(F20="",G20=""),H20=""),0,((F20*H20*SOLICITUD!$C$12)+(G20*H20*0.75*SOLICITUD!$C$12)))</f>
        <v>0</v>
      </c>
      <c r="J20" s="67" t="str">
        <f>LEFT(B20,3)</f>
        <v/>
      </c>
      <c r="K20" s="76" t="str">
        <f>IF(F20="","",F20*H20*SOLICITUD!$C$12)</f>
        <v/>
      </c>
      <c r="L20" s="76" t="str">
        <f>IF(G20="","",G20*H20*0.75*SOLICITUD!$C$12)</f>
        <v/>
      </c>
    </row>
    <row r="21" spans="2:12" x14ac:dyDescent="0.25">
      <c r="B21" s="38"/>
      <c r="C21" s="38"/>
      <c r="D21" s="38"/>
      <c r="E21" s="38"/>
      <c r="F21" s="32"/>
      <c r="G21" s="32"/>
      <c r="H21" s="33" t="str">
        <f t="shared" ref="H21:H29" si="0">IFERROR(IF(B21="","",VLOOKUP(J21,$C$47:$D$72,2,FALSE)),"Revisar código especialidad")</f>
        <v/>
      </c>
      <c r="I21" s="34">
        <f>IF(OR(AND(F21="",G21=""),H21=""),0,((F21*H21*SOLICITUD!$C$12)+(G21*H21*0.75*SOLICITUD!$C$12)))</f>
        <v>0</v>
      </c>
      <c r="J21" s="67" t="str">
        <f t="shared" ref="J21:J29" si="1">LEFT(B21,3)</f>
        <v/>
      </c>
      <c r="K21" s="76" t="str">
        <f>IF(F21="","",F21*H21*SOLICITUD!$C$12)</f>
        <v/>
      </c>
      <c r="L21" s="76" t="str">
        <f>IF(G21="","",G21*H21*0.75*SOLICITUD!$C$12)</f>
        <v/>
      </c>
    </row>
    <row r="22" spans="2:12" x14ac:dyDescent="0.25">
      <c r="B22" s="38"/>
      <c r="C22" s="38"/>
      <c r="D22" s="38"/>
      <c r="E22" s="38"/>
      <c r="F22" s="32"/>
      <c r="G22" s="32"/>
      <c r="H22" s="33" t="str">
        <f t="shared" si="0"/>
        <v/>
      </c>
      <c r="I22" s="34">
        <f>IF(OR(AND(F22="",G22=""),H22=""),0,((F22*H22*SOLICITUD!$C$12)+(G22*H22*0.75*SOLICITUD!$C$12)))</f>
        <v>0</v>
      </c>
      <c r="J22" s="67" t="str">
        <f t="shared" si="1"/>
        <v/>
      </c>
      <c r="K22" s="76" t="str">
        <f>IF(F22="","",F22*H22*SOLICITUD!$C$12)</f>
        <v/>
      </c>
      <c r="L22" s="76" t="str">
        <f>IF(G22="","",G22*H22*0.75*SOLICITUD!$C$12)</f>
        <v/>
      </c>
    </row>
    <row r="23" spans="2:12" x14ac:dyDescent="0.25">
      <c r="B23" s="38"/>
      <c r="C23" s="38"/>
      <c r="D23" s="38"/>
      <c r="E23" s="38"/>
      <c r="F23" s="32"/>
      <c r="G23" s="32"/>
      <c r="H23" s="33" t="str">
        <f t="shared" si="0"/>
        <v/>
      </c>
      <c r="I23" s="34">
        <f>IF(OR(AND(F23="",G23=""),H23=""),0,((F23*H23*SOLICITUD!$C$12)+(G23*H23*0.75*SOLICITUD!$C$12)))</f>
        <v>0</v>
      </c>
      <c r="J23" s="67" t="str">
        <f t="shared" si="1"/>
        <v/>
      </c>
      <c r="K23" s="76" t="str">
        <f>IF(F23="","",F23*H23*SOLICITUD!$C$12)</f>
        <v/>
      </c>
      <c r="L23" s="76" t="str">
        <f>IF(G23="","",G23*H23*0.75*SOLICITUD!$C$12)</f>
        <v/>
      </c>
    </row>
    <row r="24" spans="2:12" x14ac:dyDescent="0.25">
      <c r="B24" s="38"/>
      <c r="C24" s="38"/>
      <c r="D24" s="38"/>
      <c r="E24" s="38"/>
      <c r="F24" s="32"/>
      <c r="G24" s="32"/>
      <c r="H24" s="33" t="str">
        <f t="shared" si="0"/>
        <v/>
      </c>
      <c r="I24" s="34">
        <f>IF(OR(AND(F24="",G24=""),H24=""),0,((F24*H24*SOLICITUD!$C$12)+(G24*H24*0.75*SOLICITUD!$C$12)))</f>
        <v>0</v>
      </c>
      <c r="J24" s="67" t="str">
        <f t="shared" si="1"/>
        <v/>
      </c>
      <c r="K24" s="76" t="str">
        <f>IF(F24="","",F24*H24*SOLICITUD!$C$12)</f>
        <v/>
      </c>
      <c r="L24" s="76" t="str">
        <f>IF(G24="","",G24*H24*0.75*SOLICITUD!$C$12)</f>
        <v/>
      </c>
    </row>
    <row r="25" spans="2:12" x14ac:dyDescent="0.25">
      <c r="B25" s="38"/>
      <c r="C25" s="38"/>
      <c r="D25" s="38"/>
      <c r="E25" s="38"/>
      <c r="F25" s="32"/>
      <c r="G25" s="32"/>
      <c r="H25" s="33" t="str">
        <f t="shared" si="0"/>
        <v/>
      </c>
      <c r="I25" s="34">
        <f>IF(OR(AND(F25="",G25=""),H25=""),0,((F25*H25*SOLICITUD!$C$12)+(G25*H25*0.75*SOLICITUD!$C$12)))</f>
        <v>0</v>
      </c>
      <c r="J25" s="67" t="str">
        <f t="shared" si="1"/>
        <v/>
      </c>
      <c r="K25" s="76" t="str">
        <f>IF(F25="","",F25*H25*SOLICITUD!$C$12)</f>
        <v/>
      </c>
      <c r="L25" s="76" t="str">
        <f>IF(G25="","",G25*H25*0.75*SOLICITUD!$C$12)</f>
        <v/>
      </c>
    </row>
    <row r="26" spans="2:12" x14ac:dyDescent="0.25">
      <c r="B26" s="38"/>
      <c r="C26" s="38"/>
      <c r="D26" s="38"/>
      <c r="E26" s="38"/>
      <c r="F26" s="32"/>
      <c r="G26" s="32"/>
      <c r="H26" s="33" t="str">
        <f t="shared" si="0"/>
        <v/>
      </c>
      <c r="I26" s="34">
        <f>IF(OR(AND(F26="",G26=""),H26=""),0,((F26*H26*SOLICITUD!$C$12)+(G26*H26*0.75*SOLICITUD!$C$12)))</f>
        <v>0</v>
      </c>
      <c r="J26" s="67" t="str">
        <f t="shared" si="1"/>
        <v/>
      </c>
      <c r="K26" s="76" t="str">
        <f>IF(F26="","",F26*H26*SOLICITUD!$C$12)</f>
        <v/>
      </c>
      <c r="L26" s="76" t="str">
        <f>IF(G26="","",G26*H26*0.75*SOLICITUD!$C$12)</f>
        <v/>
      </c>
    </row>
    <row r="27" spans="2:12" x14ac:dyDescent="0.25">
      <c r="B27" s="38"/>
      <c r="C27" s="38"/>
      <c r="D27" s="38"/>
      <c r="E27" s="38"/>
      <c r="F27" s="32"/>
      <c r="G27" s="32"/>
      <c r="H27" s="33" t="str">
        <f t="shared" si="0"/>
        <v/>
      </c>
      <c r="I27" s="34">
        <f>IF(OR(AND(F27="",G27=""),H27=""),0,((F27*H27*SOLICITUD!$C$12)+(G27*H27*0.75*SOLICITUD!$C$12)))</f>
        <v>0</v>
      </c>
      <c r="J27" s="67" t="str">
        <f t="shared" si="1"/>
        <v/>
      </c>
      <c r="K27" s="76" t="str">
        <f>IF(F27="","",F27*H27*SOLICITUD!$C$12)</f>
        <v/>
      </c>
      <c r="L27" s="76" t="str">
        <f>IF(G27="","",G27*H27*0.75*SOLICITUD!$C$12)</f>
        <v/>
      </c>
    </row>
    <row r="28" spans="2:12" x14ac:dyDescent="0.25">
      <c r="B28" s="38"/>
      <c r="C28" s="38"/>
      <c r="D28" s="38"/>
      <c r="E28" s="38"/>
      <c r="F28" s="32"/>
      <c r="G28" s="32"/>
      <c r="H28" s="33" t="str">
        <f t="shared" si="0"/>
        <v/>
      </c>
      <c r="I28" s="34">
        <f>IF(OR(AND(F28="",G28=""),H28=""),0,((F28*H28*SOLICITUD!$C$12)+(G28*H28*0.75*SOLICITUD!$C$12)))</f>
        <v>0</v>
      </c>
      <c r="J28" s="67" t="str">
        <f t="shared" si="1"/>
        <v/>
      </c>
      <c r="K28" s="76" t="str">
        <f>IF(F28="","",F28*H28*SOLICITUD!$C$12)</f>
        <v/>
      </c>
      <c r="L28" s="76" t="str">
        <f>IF(G28="","",G28*H28*0.75*SOLICITUD!$C$12)</f>
        <v/>
      </c>
    </row>
    <row r="29" spans="2:12" x14ac:dyDescent="0.25">
      <c r="B29" s="38"/>
      <c r="C29" s="38"/>
      <c r="D29" s="38"/>
      <c r="E29" s="38"/>
      <c r="F29" s="32"/>
      <c r="G29" s="32"/>
      <c r="H29" s="33" t="str">
        <f t="shared" si="0"/>
        <v/>
      </c>
      <c r="I29" s="34">
        <f>IF(OR(AND(F29="",G29=""),H29=""),0,((F29*H29*SOLICITUD!$C$12)+(G29*H29*0.75*SOLICITUD!$C$12)))</f>
        <v>0</v>
      </c>
      <c r="J29" s="67" t="str">
        <f t="shared" si="1"/>
        <v/>
      </c>
      <c r="K29" s="76" t="str">
        <f>IF(F29="","",F29*H29*SOLICITUD!$C$12)</f>
        <v/>
      </c>
      <c r="L29" s="76" t="str">
        <f>IF(G29="","",G29*H29*0.75*SOLICITUD!$C$12)</f>
        <v/>
      </c>
    </row>
    <row r="30" spans="2:12" x14ac:dyDescent="0.25">
      <c r="B30" s="4"/>
      <c r="C30" s="4"/>
      <c r="D30" s="4"/>
      <c r="E30" s="4"/>
      <c r="F30" s="42">
        <f>SUM(F20:F26)</f>
        <v>0</v>
      </c>
      <c r="G30" s="42">
        <f>SUM(G20:G26)</f>
        <v>0</v>
      </c>
      <c r="H30" s="11"/>
      <c r="I30" s="10">
        <f>SUM(I20:I29)</f>
        <v>0</v>
      </c>
      <c r="K30" s="76">
        <f>SUM(K20:K29)</f>
        <v>0</v>
      </c>
      <c r="L30" s="76">
        <f>SUM(L20:L29)</f>
        <v>0</v>
      </c>
    </row>
    <row r="31" spans="2:12" x14ac:dyDescent="0.25">
      <c r="B31" s="4"/>
      <c r="C31" s="4"/>
      <c r="D31" s="4"/>
      <c r="E31" s="4"/>
      <c r="F31" s="122" t="str">
        <f>IF(F32&gt;250,"Máximo 250 horas subvencionables","")</f>
        <v/>
      </c>
      <c r="G31" s="122"/>
      <c r="H31" s="11"/>
      <c r="I31" s="14"/>
    </row>
    <row r="32" spans="2:12" hidden="1" x14ac:dyDescent="0.25">
      <c r="B32" s="4"/>
      <c r="C32" s="4"/>
      <c r="D32" s="4"/>
      <c r="E32" s="4"/>
      <c r="F32" s="137">
        <f>F30+G30</f>
        <v>0</v>
      </c>
      <c r="G32" s="137"/>
      <c r="H32" s="11"/>
      <c r="I32" s="14"/>
    </row>
    <row r="33" spans="2:12" x14ac:dyDescent="0.25">
      <c r="B33" s="4"/>
      <c r="C33" s="4"/>
      <c r="D33" s="4"/>
      <c r="E33" s="4"/>
      <c r="F33" s="4"/>
      <c r="G33" s="4"/>
      <c r="H33" s="4"/>
      <c r="I33" s="4"/>
    </row>
    <row r="34" spans="2:12" ht="20.100000000000001" customHeight="1" x14ac:dyDescent="0.25">
      <c r="B34" s="97" t="s">
        <v>30</v>
      </c>
      <c r="C34" s="98"/>
      <c r="D34" s="98"/>
      <c r="E34" s="98"/>
      <c r="F34" s="98"/>
      <c r="G34" s="98"/>
      <c r="H34" s="98"/>
      <c r="I34" s="99"/>
    </row>
    <row r="35" spans="2:12" ht="30" customHeight="1" x14ac:dyDescent="0.25">
      <c r="B35" s="103" t="s">
        <v>13</v>
      </c>
      <c r="C35" s="103"/>
      <c r="D35" s="103"/>
      <c r="E35" s="103"/>
      <c r="F35" s="8" t="s">
        <v>19</v>
      </c>
      <c r="G35" s="8" t="s">
        <v>20</v>
      </c>
      <c r="H35" s="70" t="s">
        <v>22</v>
      </c>
      <c r="I35" s="65" t="s">
        <v>4</v>
      </c>
      <c r="J35" s="67" t="s">
        <v>2</v>
      </c>
    </row>
    <row r="36" spans="2:12" x14ac:dyDescent="0.25">
      <c r="B36" s="104" t="s">
        <v>18</v>
      </c>
      <c r="C36" s="105"/>
      <c r="D36" s="105"/>
      <c r="E36" s="106"/>
      <c r="F36" s="1"/>
      <c r="G36" s="91"/>
      <c r="H36" s="12" t="str">
        <f>IF(I20=0,"",I30/(G30+F30)/SOLICITUD!C12)</f>
        <v/>
      </c>
      <c r="I36" s="10" t="str">
        <f>IF(I20=0,"",(F36*H36*SOLICITUD!C12)+(G36*H36*SOLICITUD!C12))</f>
        <v/>
      </c>
      <c r="J36" s="42" t="str">
        <f>IF(F20="","",IF((F30+G30)&lt;50,2,IF(AND((F30+G30)&gt;=50,(F30+G30)&lt;100),5,10)))</f>
        <v/>
      </c>
      <c r="K36" s="67">
        <f>IF(F36="",0,F36*H36*SOLICITUD!$C$12)</f>
        <v>0</v>
      </c>
      <c r="L36" s="67">
        <f>IF(G36="",0,G36*H36*SOLICITUD!$C$12)</f>
        <v>0</v>
      </c>
    </row>
    <row r="37" spans="2:12" x14ac:dyDescent="0.25">
      <c r="B37" s="66"/>
      <c r="C37" s="66"/>
      <c r="D37" s="66"/>
      <c r="E37" s="66"/>
      <c r="F37" s="107" t="str">
        <f>IF(B20="","",IF(J36="","",IF((F36+G36)=J36,"","Nº horas incorrecto")))</f>
        <v/>
      </c>
      <c r="G37" s="107"/>
      <c r="H37" s="13"/>
      <c r="I37" s="14"/>
    </row>
    <row r="38" spans="2:12" x14ac:dyDescent="0.25">
      <c r="B38" s="4"/>
      <c r="C38" s="4"/>
      <c r="D38" s="4"/>
      <c r="E38" s="4"/>
      <c r="F38" s="4"/>
      <c r="G38" s="4"/>
      <c r="H38" s="4"/>
      <c r="I38" s="4"/>
    </row>
    <row r="39" spans="2:12" hidden="1" x14ac:dyDescent="0.25">
      <c r="B39" s="4"/>
      <c r="C39" s="4"/>
      <c r="D39" s="4"/>
      <c r="E39" s="4"/>
      <c r="F39" s="15" t="s">
        <v>24</v>
      </c>
      <c r="G39" s="15" t="s">
        <v>25</v>
      </c>
      <c r="H39" s="67" t="s">
        <v>15</v>
      </c>
      <c r="I39" s="67" t="s">
        <v>4</v>
      </c>
      <c r="K39" s="67" t="s">
        <v>102</v>
      </c>
      <c r="L39" s="67" t="s">
        <v>103</v>
      </c>
    </row>
    <row r="40" spans="2:12" hidden="1" x14ac:dyDescent="0.25">
      <c r="B40" s="4"/>
      <c r="F40" s="17">
        <f>IF(AND(F20="",G20=""),0,F30+F36)</f>
        <v>0</v>
      </c>
      <c r="G40" s="17" t="str">
        <f>IF(AND(F20="",G20=""),"",G30+G36)</f>
        <v/>
      </c>
      <c r="H40" s="18" t="str">
        <f>IF(H36="","",H36)</f>
        <v/>
      </c>
      <c r="I40" s="19" t="str">
        <f>IF(I20=0,"",I30+I36)</f>
        <v/>
      </c>
      <c r="K40" s="76">
        <f>K30+K36</f>
        <v>0</v>
      </c>
      <c r="L40" s="76">
        <f>L30+L36</f>
        <v>0</v>
      </c>
    </row>
    <row r="41" spans="2:12" hidden="1" x14ac:dyDescent="0.25">
      <c r="B41" s="21"/>
      <c r="C41" s="20"/>
      <c r="D41" s="20"/>
      <c r="E41" s="20"/>
      <c r="F41" s="22"/>
      <c r="G41" s="22"/>
      <c r="H41" s="23"/>
      <c r="I41" s="24"/>
      <c r="K41" s="135" t="e">
        <f>K40/(K40+L40)</f>
        <v>#DIV/0!</v>
      </c>
      <c r="L41" s="136"/>
    </row>
    <row r="42" spans="2:12" ht="20.100000000000001" customHeight="1" x14ac:dyDescent="0.25">
      <c r="B42" s="97" t="s">
        <v>94</v>
      </c>
      <c r="C42" s="98"/>
      <c r="D42" s="98"/>
      <c r="E42" s="98"/>
      <c r="F42" s="98"/>
      <c r="G42" s="98"/>
      <c r="H42" s="98"/>
      <c r="I42" s="99"/>
    </row>
    <row r="43" spans="2:12" ht="18.75" x14ac:dyDescent="0.25">
      <c r="B43" s="97" t="s">
        <v>92</v>
      </c>
      <c r="C43" s="99"/>
      <c r="D43" s="63" t="s">
        <v>3</v>
      </c>
      <c r="E43" s="69" t="s">
        <v>14</v>
      </c>
      <c r="F43" s="120" t="s">
        <v>2</v>
      </c>
      <c r="G43" s="120"/>
      <c r="H43" s="69" t="s">
        <v>15</v>
      </c>
      <c r="I43" s="75" t="s">
        <v>16</v>
      </c>
    </row>
    <row r="44" spans="2:12" ht="18.75" x14ac:dyDescent="0.25">
      <c r="B44" s="123" t="str">
        <f>IF(C16="","",C16)</f>
        <v/>
      </c>
      <c r="C44" s="124"/>
      <c r="D44" s="64" t="str">
        <f>IF(AND(F20="",G20=""),"",IF((F40/(F40+G40))&lt;=0.2,"TELEFORMACIÓN",IF((F40/(F40+G40))=1,"PRESENCIAL","MIXTA")))</f>
        <v/>
      </c>
      <c r="E44" s="64" t="str">
        <f>IF(SOLICITUD!C12="","",SOLICITUD!C12)</f>
        <v/>
      </c>
      <c r="F44" s="102" t="str">
        <f>IF(AND(F20="",G20=""),"",F30+G30+F36+G36)</f>
        <v/>
      </c>
      <c r="G44" s="102"/>
      <c r="H44" s="26" t="str">
        <f>IF(I20=0,"",H36)</f>
        <v/>
      </c>
      <c r="I44" s="27" t="str">
        <f>IF(I20=0,"",E44*F44*H44)</f>
        <v/>
      </c>
    </row>
    <row r="45" spans="2:12" x14ac:dyDescent="0.25">
      <c r="B45" s="114" t="str">
        <f>IFERROR(IF(K41="","",IF(K41&lt;=0.2,"Al menos 20% del importe de la subvención del itinerario debe ser en presencial","")),"")</f>
        <v/>
      </c>
      <c r="C45" s="114"/>
      <c r="D45" s="114"/>
      <c r="H45" s="112" t="str">
        <f>IF(I44="","",IF(I44&gt;50000,"Subvención máxima de 50.000 euros",""))</f>
        <v/>
      </c>
      <c r="I45" s="112"/>
    </row>
    <row r="46" spans="2:12" ht="20.100000000000001" customHeight="1" x14ac:dyDescent="0.25">
      <c r="B46" s="114"/>
      <c r="C46" s="114"/>
      <c r="D46" s="114"/>
    </row>
    <row r="47" spans="2:12" hidden="1" x14ac:dyDescent="0.25">
      <c r="B47" s="61" t="s">
        <v>32</v>
      </c>
      <c r="C47" s="61" t="s">
        <v>56</v>
      </c>
      <c r="D47" s="62">
        <v>10.85</v>
      </c>
    </row>
    <row r="48" spans="2:12" hidden="1" x14ac:dyDescent="0.25">
      <c r="B48" s="29" t="s">
        <v>33</v>
      </c>
      <c r="C48" s="29" t="s">
        <v>57</v>
      </c>
      <c r="D48" s="31">
        <v>9.8800000000000008</v>
      </c>
    </row>
    <row r="49" spans="2:4" hidden="1" x14ac:dyDescent="0.25">
      <c r="B49" s="29" t="s">
        <v>26</v>
      </c>
      <c r="C49" s="29" t="s">
        <v>58</v>
      </c>
      <c r="D49" s="31">
        <v>12.6</v>
      </c>
    </row>
    <row r="50" spans="2:4" hidden="1" x14ac:dyDescent="0.25">
      <c r="B50" s="29" t="s">
        <v>34</v>
      </c>
      <c r="C50" s="29" t="s">
        <v>59</v>
      </c>
      <c r="D50" s="31">
        <v>11.8</v>
      </c>
    </row>
    <row r="51" spans="2:4" hidden="1" x14ac:dyDescent="0.25">
      <c r="B51" s="29" t="s">
        <v>35</v>
      </c>
      <c r="C51" s="29" t="s">
        <v>60</v>
      </c>
      <c r="D51" s="31">
        <v>11.8</v>
      </c>
    </row>
    <row r="52" spans="2:4" hidden="1" x14ac:dyDescent="0.25">
      <c r="B52" s="29" t="s">
        <v>36</v>
      </c>
      <c r="C52" s="29" t="s">
        <v>61</v>
      </c>
      <c r="D52" s="31">
        <v>9.89</v>
      </c>
    </row>
    <row r="53" spans="2:4" hidden="1" x14ac:dyDescent="0.25">
      <c r="B53" s="29" t="s">
        <v>37</v>
      </c>
      <c r="C53" s="29" t="s">
        <v>62</v>
      </c>
      <c r="D53" s="31">
        <v>12.17</v>
      </c>
    </row>
    <row r="54" spans="2:4" hidden="1" x14ac:dyDescent="0.25">
      <c r="B54" s="29" t="s">
        <v>38</v>
      </c>
      <c r="C54" s="29" t="s">
        <v>63</v>
      </c>
      <c r="D54" s="31">
        <v>11</v>
      </c>
    </row>
    <row r="55" spans="2:4" hidden="1" x14ac:dyDescent="0.25">
      <c r="B55" s="29" t="s">
        <v>39</v>
      </c>
      <c r="C55" s="29" t="s">
        <v>64</v>
      </c>
      <c r="D55" s="31">
        <v>11.29</v>
      </c>
    </row>
    <row r="56" spans="2:4" hidden="1" x14ac:dyDescent="0.25">
      <c r="B56" s="33" t="s">
        <v>40</v>
      </c>
      <c r="C56" s="33" t="s">
        <v>65</v>
      </c>
      <c r="D56" s="36">
        <v>12.35</v>
      </c>
    </row>
    <row r="57" spans="2:4" hidden="1" x14ac:dyDescent="0.25">
      <c r="B57" s="33" t="s">
        <v>41</v>
      </c>
      <c r="C57" s="33" t="s">
        <v>66</v>
      </c>
      <c r="D57" s="36">
        <v>12.02</v>
      </c>
    </row>
    <row r="58" spans="2:4" hidden="1" x14ac:dyDescent="0.25">
      <c r="B58" s="33" t="s">
        <v>42</v>
      </c>
      <c r="C58" s="33" t="s">
        <v>67</v>
      </c>
      <c r="D58" s="36">
        <v>12.77</v>
      </c>
    </row>
    <row r="59" spans="2:4" hidden="1" x14ac:dyDescent="0.25">
      <c r="B59" s="33" t="s">
        <v>43</v>
      </c>
      <c r="C59" s="33" t="s">
        <v>68</v>
      </c>
      <c r="D59" s="36">
        <v>12.35</v>
      </c>
    </row>
    <row r="60" spans="2:4" hidden="1" x14ac:dyDescent="0.25">
      <c r="B60" s="33" t="s">
        <v>44</v>
      </c>
      <c r="C60" s="33" t="s">
        <v>69</v>
      </c>
      <c r="D60" s="36">
        <v>13.5</v>
      </c>
    </row>
    <row r="61" spans="2:4" hidden="1" x14ac:dyDescent="0.25">
      <c r="B61" s="33" t="s">
        <v>45</v>
      </c>
      <c r="C61" s="33" t="s">
        <v>70</v>
      </c>
      <c r="D61" s="36">
        <v>12.17</v>
      </c>
    </row>
    <row r="62" spans="2:4" hidden="1" x14ac:dyDescent="0.25">
      <c r="B62" s="33" t="s">
        <v>46</v>
      </c>
      <c r="C62" s="33" t="s">
        <v>71</v>
      </c>
      <c r="D62" s="36">
        <v>9.8800000000000008</v>
      </c>
    </row>
    <row r="63" spans="2:4" hidden="1" x14ac:dyDescent="0.25">
      <c r="B63" s="29" t="s">
        <v>47</v>
      </c>
      <c r="C63" s="29" t="s">
        <v>72</v>
      </c>
      <c r="D63" s="31">
        <v>11.49</v>
      </c>
    </row>
    <row r="64" spans="2:4" hidden="1" x14ac:dyDescent="0.25">
      <c r="B64" s="29" t="s">
        <v>27</v>
      </c>
      <c r="C64" s="29" t="s">
        <v>73</v>
      </c>
      <c r="D64" s="31">
        <v>12.17</v>
      </c>
    </row>
    <row r="65" spans="2:4" hidden="1" x14ac:dyDescent="0.25">
      <c r="B65" s="29" t="s">
        <v>28</v>
      </c>
      <c r="C65" s="29" t="s">
        <v>74</v>
      </c>
      <c r="D65" s="31">
        <v>10.71</v>
      </c>
    </row>
    <row r="66" spans="2:4" hidden="1" x14ac:dyDescent="0.25">
      <c r="B66" s="29" t="s">
        <v>29</v>
      </c>
      <c r="C66" s="29" t="s">
        <v>75</v>
      </c>
      <c r="D66" s="31">
        <v>11.97</v>
      </c>
    </row>
    <row r="67" spans="2:4" hidden="1" x14ac:dyDescent="0.25">
      <c r="B67" s="29" t="s">
        <v>48</v>
      </c>
      <c r="C67" s="29" t="s">
        <v>76</v>
      </c>
      <c r="D67" s="31">
        <v>10.71</v>
      </c>
    </row>
    <row r="68" spans="2:4" hidden="1" x14ac:dyDescent="0.25">
      <c r="B68" s="29" t="s">
        <v>49</v>
      </c>
      <c r="C68" s="29" t="s">
        <v>77</v>
      </c>
      <c r="D68" s="31">
        <v>10.71</v>
      </c>
    </row>
    <row r="69" spans="2:4" hidden="1" x14ac:dyDescent="0.25">
      <c r="B69" s="29" t="s">
        <v>50</v>
      </c>
      <c r="C69" s="29" t="s">
        <v>78</v>
      </c>
      <c r="D69" s="31">
        <v>12.35</v>
      </c>
    </row>
    <row r="70" spans="2:4" hidden="1" x14ac:dyDescent="0.25">
      <c r="B70" s="29" t="s">
        <v>51</v>
      </c>
      <c r="C70" s="29" t="s">
        <v>91</v>
      </c>
      <c r="D70" s="31">
        <v>12.47</v>
      </c>
    </row>
    <row r="71" spans="2:4" hidden="1" x14ac:dyDescent="0.25">
      <c r="B71" s="29" t="s">
        <v>88</v>
      </c>
      <c r="C71" s="29" t="s">
        <v>89</v>
      </c>
      <c r="D71" s="31">
        <v>9.8800000000000008</v>
      </c>
    </row>
    <row r="72" spans="2:4" hidden="1" x14ac:dyDescent="0.25">
      <c r="B72" s="67" t="s">
        <v>88</v>
      </c>
      <c r="C72" s="67" t="s">
        <v>90</v>
      </c>
      <c r="D72" s="67">
        <v>9.8800000000000008</v>
      </c>
    </row>
  </sheetData>
  <sheetProtection password="CC3E" sheet="1" objects="1" scenarios="1"/>
  <mergeCells count="18">
    <mergeCell ref="B14:I14"/>
    <mergeCell ref="B43:C43"/>
    <mergeCell ref="F43:G43"/>
    <mergeCell ref="C16:E16"/>
    <mergeCell ref="B18:I18"/>
    <mergeCell ref="F31:G31"/>
    <mergeCell ref="F32:G32"/>
    <mergeCell ref="B34:I34"/>
    <mergeCell ref="K41:L41"/>
    <mergeCell ref="B35:E35"/>
    <mergeCell ref="B36:E36"/>
    <mergeCell ref="F37:G37"/>
    <mergeCell ref="B42:I42"/>
    <mergeCell ref="B44:C44"/>
    <mergeCell ref="F44:G44"/>
    <mergeCell ref="B45:D45"/>
    <mergeCell ref="H45:I45"/>
    <mergeCell ref="B46:D46"/>
  </mergeCells>
  <conditionalFormatting sqref="F37:G37">
    <cfRule type="cellIs" dxfId="9" priority="9" operator="equal">
      <formula>"Nº horas incorrecto"</formula>
    </cfRule>
  </conditionalFormatting>
  <conditionalFormatting sqref="H20:H29">
    <cfRule type="cellIs" dxfId="8" priority="8" operator="equal">
      <formula>"Revisar código especialidad"</formula>
    </cfRule>
  </conditionalFormatting>
  <conditionalFormatting sqref="F31:G31">
    <cfRule type="cellIs" dxfId="7" priority="5" operator="equal">
      <formula>"Máximo 250 horas subvencionables"</formula>
    </cfRule>
  </conditionalFormatting>
  <conditionalFormatting sqref="H45:I45">
    <cfRule type="cellIs" dxfId="6" priority="4" operator="equal">
      <formula>"Subvención máxima de 50.000 euros"</formula>
    </cfRule>
  </conditionalFormatting>
  <conditionalFormatting sqref="B46:D46">
    <cfRule type="cellIs" dxfId="5" priority="3" operator="equal">
      <formula>"Al menos 20% del importe de la subvención del itinerario debe ser en presencial"</formula>
    </cfRule>
  </conditionalFormatting>
  <conditionalFormatting sqref="B45:D45">
    <cfRule type="cellIs" dxfId="4" priority="2" operator="equal">
      <formula>"Al menos 20% del importe de la subvención del itinerario debe ser en presencial"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J72"/>
  <sheetViews>
    <sheetView showGridLines="0" showZeros="0" topLeftCell="B1" zoomScaleNormal="100" workbookViewId="0">
      <selection activeCell="B17" sqref="B17:I17"/>
    </sheetView>
  </sheetViews>
  <sheetFormatPr baseColWidth="10" defaultColWidth="11.42578125" defaultRowHeight="15" x14ac:dyDescent="0.25"/>
  <cols>
    <col min="1" max="1" width="11.42578125" style="2"/>
    <col min="2" max="2" width="30.7109375" style="2" customWidth="1"/>
    <col min="3" max="3" width="42.42578125" style="2" customWidth="1"/>
    <col min="4" max="4" width="30.7109375" style="2" customWidth="1"/>
    <col min="5" max="5" width="19.5703125" style="2" customWidth="1"/>
    <col min="6" max="6" width="18" style="2" customWidth="1"/>
    <col min="7" max="7" width="18.42578125" style="2" customWidth="1"/>
    <col min="8" max="8" width="29.28515625" style="2" bestFit="1" customWidth="1"/>
    <col min="9" max="9" width="19.140625" style="2" customWidth="1"/>
    <col min="10" max="10" width="11.42578125" style="2" hidden="1" customWidth="1"/>
    <col min="11" max="12" width="11.42578125" style="2" customWidth="1"/>
    <col min="13" max="16384" width="11.42578125" style="2"/>
  </cols>
  <sheetData>
    <row r="7" spans="1:9" x14ac:dyDescent="0.25">
      <c r="B7" s="86" t="s">
        <v>5</v>
      </c>
      <c r="C7" s="86">
        <f>SOLICITUD!C9</f>
        <v>0</v>
      </c>
      <c r="E7" s="138" t="s">
        <v>10</v>
      </c>
      <c r="F7" s="138"/>
    </row>
    <row r="8" spans="1:9" x14ac:dyDescent="0.25">
      <c r="B8" s="86" t="s">
        <v>6</v>
      </c>
      <c r="C8" s="86">
        <f>SOLICITUD!C10</f>
        <v>0</v>
      </c>
      <c r="E8" s="139" t="s">
        <v>9</v>
      </c>
      <c r="F8" s="139"/>
    </row>
    <row r="9" spans="1:9" x14ac:dyDescent="0.25">
      <c r="B9" s="86" t="s">
        <v>8</v>
      </c>
      <c r="C9" s="86">
        <f>SOLICITUD!C11</f>
        <v>0</v>
      </c>
      <c r="E9" s="140" t="s">
        <v>96</v>
      </c>
      <c r="F9" s="140"/>
    </row>
    <row r="10" spans="1:9" x14ac:dyDescent="0.25">
      <c r="B10" s="86" t="s">
        <v>7</v>
      </c>
      <c r="C10" s="86">
        <f>SOLICITUD!C12</f>
        <v>0</v>
      </c>
    </row>
    <row r="11" spans="1:9" x14ac:dyDescent="0.25">
      <c r="B11" s="86" t="s">
        <v>16</v>
      </c>
      <c r="C11" s="92" t="str">
        <f>IF(H43="","",H43)</f>
        <v/>
      </c>
    </row>
    <row r="14" spans="1:9" ht="30" customHeight="1" x14ac:dyDescent="0.25">
      <c r="B14" s="96" t="s">
        <v>85</v>
      </c>
      <c r="C14" s="96"/>
      <c r="D14" s="96"/>
      <c r="E14" s="96"/>
      <c r="F14" s="96"/>
      <c r="G14" s="96"/>
      <c r="H14" s="96"/>
      <c r="I14" s="96"/>
    </row>
    <row r="15" spans="1:9" ht="15" customHeight="1" x14ac:dyDescent="0.25">
      <c r="A15" s="51"/>
    </row>
    <row r="16" spans="1:9" ht="24.95" customHeight="1" x14ac:dyDescent="0.25">
      <c r="A16" s="51"/>
      <c r="B16" s="131" t="s">
        <v>108</v>
      </c>
      <c r="C16" s="132"/>
      <c r="D16" s="132"/>
      <c r="E16" s="132"/>
      <c r="F16" s="132"/>
      <c r="G16" s="132"/>
      <c r="H16" s="132"/>
      <c r="I16" s="133"/>
    </row>
    <row r="17" spans="1:9" ht="99.95" customHeight="1" x14ac:dyDescent="0.25">
      <c r="A17" s="51"/>
      <c r="B17" s="145"/>
      <c r="C17" s="145"/>
      <c r="D17" s="145"/>
      <c r="E17" s="145"/>
      <c r="F17" s="145"/>
      <c r="G17" s="145"/>
      <c r="H17" s="145"/>
      <c r="I17" s="145"/>
    </row>
    <row r="18" spans="1:9" ht="15" customHeight="1" x14ac:dyDescent="0.25">
      <c r="A18" s="51"/>
    </row>
    <row r="19" spans="1:9" ht="24.95" customHeight="1" x14ac:dyDescent="0.25">
      <c r="A19" s="51"/>
      <c r="B19" s="146" t="s">
        <v>109</v>
      </c>
      <c r="C19" s="147"/>
      <c r="D19" s="147"/>
      <c r="E19" s="147"/>
      <c r="F19" s="147"/>
      <c r="G19" s="147"/>
      <c r="H19" s="147"/>
      <c r="I19" s="148"/>
    </row>
    <row r="20" spans="1:9" ht="15" customHeight="1" x14ac:dyDescent="0.25">
      <c r="A20" s="51"/>
    </row>
    <row r="21" spans="1:9" ht="20.100000000000001" customHeight="1" x14ac:dyDescent="0.25">
      <c r="A21" s="51"/>
      <c r="B21" s="45" t="s">
        <v>11</v>
      </c>
      <c r="C21" s="119"/>
      <c r="D21" s="119"/>
      <c r="E21" s="119"/>
      <c r="F21" s="119"/>
    </row>
    <row r="22" spans="1:9" ht="20.100000000000001" customHeight="1" x14ac:dyDescent="0.25">
      <c r="A22" s="51"/>
      <c r="B22" s="45" t="s">
        <v>84</v>
      </c>
      <c r="C22" s="90"/>
    </row>
    <row r="23" spans="1:9" ht="20.100000000000001" customHeight="1" x14ac:dyDescent="0.25">
      <c r="A23" s="51"/>
      <c r="B23" s="45" t="s">
        <v>107</v>
      </c>
      <c r="C23" s="90"/>
    </row>
    <row r="24" spans="1:9" ht="15" customHeight="1" x14ac:dyDescent="0.25">
      <c r="A24" s="51"/>
    </row>
    <row r="25" spans="1:9" ht="20.100000000000001" customHeight="1" x14ac:dyDescent="0.25">
      <c r="A25" s="51"/>
      <c r="B25" s="97" t="s">
        <v>55</v>
      </c>
      <c r="C25" s="98"/>
      <c r="D25" s="98"/>
      <c r="E25" s="98"/>
      <c r="F25" s="98"/>
      <c r="G25" s="98"/>
      <c r="H25" s="98"/>
      <c r="I25" s="99"/>
    </row>
    <row r="26" spans="1:9" ht="30" customHeight="1" x14ac:dyDescent="0.25">
      <c r="B26" s="87" t="s">
        <v>106</v>
      </c>
      <c r="C26" s="88"/>
      <c r="D26" s="88"/>
      <c r="E26" s="89"/>
      <c r="F26" s="8" t="s">
        <v>19</v>
      </c>
      <c r="G26" s="8" t="s">
        <v>20</v>
      </c>
      <c r="H26" s="8" t="s">
        <v>105</v>
      </c>
      <c r="I26" s="65" t="s">
        <v>4</v>
      </c>
    </row>
    <row r="27" spans="1:9" x14ac:dyDescent="0.25">
      <c r="B27" s="141"/>
      <c r="C27" s="142"/>
      <c r="D27" s="142"/>
      <c r="E27" s="143"/>
      <c r="F27" s="1"/>
      <c r="G27" s="1"/>
      <c r="H27" s="149" t="str">
        <f>IF($C$22="","",VLOOKUP($C$22,$B$46:$D$71,3,FALSE))</f>
        <v/>
      </c>
      <c r="I27" s="50" t="str">
        <f>IFERROR(IF(AND(F27="",G27=""),"",((F27*$H$27*SOLICITUD!$C$12)+(G27*$H$27*0.75*SOLICITUD!$C$12))),"")</f>
        <v/>
      </c>
    </row>
    <row r="28" spans="1:9" x14ac:dyDescent="0.25">
      <c r="B28" s="141"/>
      <c r="C28" s="142"/>
      <c r="D28" s="142"/>
      <c r="E28" s="143"/>
      <c r="F28" s="1"/>
      <c r="G28" s="1"/>
      <c r="H28" s="150"/>
      <c r="I28" s="50" t="str">
        <f>IFERROR(IF(AND(F28="",G28=""),"",((F28*$H$27*SOLICITUD!$C$12)+(G28*$H$27*0.75*SOLICITUD!$C$12))),"")</f>
        <v/>
      </c>
    </row>
    <row r="29" spans="1:9" x14ac:dyDescent="0.25">
      <c r="B29" s="141"/>
      <c r="C29" s="142"/>
      <c r="D29" s="142"/>
      <c r="E29" s="143"/>
      <c r="F29" s="1"/>
      <c r="G29" s="1"/>
      <c r="H29" s="150"/>
      <c r="I29" s="50" t="str">
        <f>IFERROR(IF(AND(F29="",G29=""),"",((F29*$H$27*SOLICITUD!$C$12)+(G29*$H$27*0.75*SOLICITUD!$C$12))),"")</f>
        <v/>
      </c>
    </row>
    <row r="30" spans="1:9" x14ac:dyDescent="0.25">
      <c r="B30" s="141"/>
      <c r="C30" s="142"/>
      <c r="D30" s="142"/>
      <c r="E30" s="143"/>
      <c r="F30" s="1"/>
      <c r="G30" s="1"/>
      <c r="H30" s="150"/>
      <c r="I30" s="50" t="str">
        <f>IFERROR(IF(AND(F30="",G30=""),"",((F30*$H$27*SOLICITUD!$C$12)+(G30*$H$27*0.75*SOLICITUD!$C$12))),"")</f>
        <v/>
      </c>
    </row>
    <row r="31" spans="1:9" x14ac:dyDescent="0.25">
      <c r="B31" s="141"/>
      <c r="C31" s="142"/>
      <c r="D31" s="142"/>
      <c r="E31" s="143"/>
      <c r="F31" s="1"/>
      <c r="G31" s="1"/>
      <c r="H31" s="150"/>
      <c r="I31" s="50" t="str">
        <f>IFERROR(IF(AND(F31="",G31=""),"",((F31*$H$27*SOLICITUD!$C$12)+(G31*$H$27*0.75*SOLICITUD!$C$12))),"")</f>
        <v/>
      </c>
    </row>
    <row r="32" spans="1:9" x14ac:dyDescent="0.25">
      <c r="B32" s="141"/>
      <c r="C32" s="142"/>
      <c r="D32" s="142"/>
      <c r="E32" s="143"/>
      <c r="F32" s="1"/>
      <c r="G32" s="1"/>
      <c r="H32" s="144"/>
      <c r="I32" s="50" t="str">
        <f>IFERROR(IF(AND(F32="",G32=""),"",((F32*$H$27*SOLICITUD!$C$12)+(G32*$H$27*0.75*SOLICITUD!$C$12))),"")</f>
        <v/>
      </c>
    </row>
    <row r="33" spans="2:10" x14ac:dyDescent="0.25">
      <c r="F33" s="71">
        <f>SUM(F27:F32)</f>
        <v>0</v>
      </c>
      <c r="G33" s="71">
        <f>SUM(G27:G32)</f>
        <v>0</v>
      </c>
      <c r="H33" s="4"/>
      <c r="I33" s="50" t="str">
        <f>IF(I27="","",SUM(I27:I32))</f>
        <v/>
      </c>
    </row>
    <row r="34" spans="2:10" x14ac:dyDescent="0.25">
      <c r="F34" s="112" t="str">
        <f>IF(F35&lt;=250,"","Máximo 250 horas subvencionables")</f>
        <v/>
      </c>
      <c r="G34" s="112"/>
      <c r="H34" s="4"/>
      <c r="I34" s="79"/>
    </row>
    <row r="35" spans="2:10" hidden="1" x14ac:dyDescent="0.25">
      <c r="F35" s="144">
        <f>F33+G33</f>
        <v>0</v>
      </c>
      <c r="G35" s="144"/>
      <c r="H35" s="4"/>
      <c r="I35" s="79"/>
    </row>
    <row r="37" spans="2:10" ht="20.100000000000001" customHeight="1" x14ac:dyDescent="0.25">
      <c r="B37" s="97" t="s">
        <v>30</v>
      </c>
      <c r="C37" s="98"/>
      <c r="D37" s="98"/>
      <c r="E37" s="98"/>
      <c r="F37" s="98"/>
      <c r="G37" s="98"/>
      <c r="H37" s="98"/>
      <c r="I37" s="99"/>
    </row>
    <row r="38" spans="2:10" ht="30" customHeight="1" x14ac:dyDescent="0.25">
      <c r="B38" s="103" t="s">
        <v>13</v>
      </c>
      <c r="C38" s="103"/>
      <c r="D38" s="103"/>
      <c r="E38" s="103"/>
      <c r="F38" s="8" t="s">
        <v>19</v>
      </c>
      <c r="G38" s="8" t="s">
        <v>20</v>
      </c>
      <c r="H38" s="70" t="s">
        <v>22</v>
      </c>
      <c r="I38" s="65" t="s">
        <v>4</v>
      </c>
    </row>
    <row r="39" spans="2:10" x14ac:dyDescent="0.25">
      <c r="B39" s="104" t="s">
        <v>18</v>
      </c>
      <c r="C39" s="105"/>
      <c r="D39" s="105"/>
      <c r="E39" s="106"/>
      <c r="F39" s="1"/>
      <c r="G39" s="91"/>
      <c r="H39" s="67" t="str">
        <f>IF(H27="","",H27)</f>
        <v/>
      </c>
      <c r="I39" s="50" t="str">
        <f>IF(I27="","",((F39*H39*SOLICITUD!C12)+(G39*H39*0.75*SOLICITUD!C12)))</f>
        <v/>
      </c>
      <c r="J39" s="67">
        <f>IF((F33+G33)&lt;50,2,IF((F33+G33)&lt;100,5,IF((F33+G33)&gt;=100,10)))</f>
        <v>2</v>
      </c>
    </row>
    <row r="40" spans="2:10" x14ac:dyDescent="0.25">
      <c r="F40" s="112" t="str">
        <f>IF(B27="","",IF((F39+G39)=J39,"","Nº horas incorrecto"))</f>
        <v/>
      </c>
      <c r="G40" s="112"/>
    </row>
    <row r="41" spans="2:10" x14ac:dyDescent="0.25">
      <c r="F41" s="68"/>
      <c r="G41" s="68"/>
    </row>
    <row r="42" spans="2:10" s="73" customFormat="1" ht="24.95" customHeight="1" x14ac:dyDescent="0.25">
      <c r="F42" s="74"/>
      <c r="G42" s="74"/>
      <c r="H42" s="115" t="s">
        <v>93</v>
      </c>
      <c r="I42" s="116"/>
    </row>
    <row r="43" spans="2:10" s="73" customFormat="1" ht="24.95" customHeight="1" x14ac:dyDescent="0.25">
      <c r="B43" s="74"/>
      <c r="C43" s="74"/>
      <c r="D43" s="74"/>
      <c r="E43" s="74"/>
      <c r="F43" s="74"/>
      <c r="G43" s="74"/>
      <c r="H43" s="117" t="str">
        <f>IF(I27="","",I33+I39)</f>
        <v/>
      </c>
      <c r="I43" s="118"/>
    </row>
    <row r="44" spans="2:10" ht="20.100000000000001" customHeight="1" x14ac:dyDescent="0.25">
      <c r="B44" s="114"/>
      <c r="C44" s="114"/>
      <c r="D44" s="114"/>
      <c r="H44" s="112" t="str">
        <f>IF(H43="","",IF(H43&gt;=50000,"Subvención máxima de 50.000 euros",""))</f>
        <v/>
      </c>
      <c r="I44" s="112"/>
    </row>
    <row r="45" spans="2:10" ht="20.100000000000001" hidden="1" customHeight="1" x14ac:dyDescent="0.25">
      <c r="B45" s="77"/>
      <c r="C45" s="77"/>
      <c r="D45" s="77"/>
      <c r="H45" s="77"/>
      <c r="I45" s="77"/>
    </row>
    <row r="46" spans="2:10" hidden="1" x14ac:dyDescent="0.25">
      <c r="B46" s="29" t="s">
        <v>32</v>
      </c>
      <c r="C46" s="29" t="s">
        <v>56</v>
      </c>
      <c r="D46" s="31">
        <v>10.85</v>
      </c>
    </row>
    <row r="47" spans="2:10" hidden="1" x14ac:dyDescent="0.25">
      <c r="B47" s="29" t="s">
        <v>33</v>
      </c>
      <c r="C47" s="29" t="s">
        <v>57</v>
      </c>
      <c r="D47" s="31">
        <v>9.8800000000000008</v>
      </c>
    </row>
    <row r="48" spans="2:10" hidden="1" x14ac:dyDescent="0.25">
      <c r="B48" s="29" t="s">
        <v>26</v>
      </c>
      <c r="C48" s="29" t="s">
        <v>58</v>
      </c>
      <c r="D48" s="31">
        <v>12.6</v>
      </c>
    </row>
    <row r="49" spans="2:4" hidden="1" x14ac:dyDescent="0.25">
      <c r="B49" s="29" t="s">
        <v>34</v>
      </c>
      <c r="C49" s="29" t="s">
        <v>59</v>
      </c>
      <c r="D49" s="31">
        <v>11.8</v>
      </c>
    </row>
    <row r="50" spans="2:4" hidden="1" x14ac:dyDescent="0.25">
      <c r="B50" s="29" t="s">
        <v>35</v>
      </c>
      <c r="C50" s="29" t="s">
        <v>60</v>
      </c>
      <c r="D50" s="31">
        <v>11.8</v>
      </c>
    </row>
    <row r="51" spans="2:4" hidden="1" x14ac:dyDescent="0.25">
      <c r="B51" s="29" t="s">
        <v>36</v>
      </c>
      <c r="C51" s="29" t="s">
        <v>61</v>
      </c>
      <c r="D51" s="31">
        <v>9.89</v>
      </c>
    </row>
    <row r="52" spans="2:4" hidden="1" x14ac:dyDescent="0.25">
      <c r="B52" s="29" t="s">
        <v>37</v>
      </c>
      <c r="C52" s="29" t="s">
        <v>62</v>
      </c>
      <c r="D52" s="31">
        <v>12.17</v>
      </c>
    </row>
    <row r="53" spans="2:4" hidden="1" x14ac:dyDescent="0.25">
      <c r="B53" s="29" t="s">
        <v>38</v>
      </c>
      <c r="C53" s="29" t="s">
        <v>63</v>
      </c>
      <c r="D53" s="31">
        <v>11</v>
      </c>
    </row>
    <row r="54" spans="2:4" hidden="1" x14ac:dyDescent="0.25">
      <c r="B54" s="29" t="s">
        <v>39</v>
      </c>
      <c r="C54" s="29" t="s">
        <v>64</v>
      </c>
      <c r="D54" s="31">
        <v>11.29</v>
      </c>
    </row>
    <row r="55" spans="2:4" hidden="1" x14ac:dyDescent="0.25">
      <c r="B55" s="33" t="s">
        <v>40</v>
      </c>
      <c r="C55" s="33" t="s">
        <v>65</v>
      </c>
      <c r="D55" s="36">
        <v>12.35</v>
      </c>
    </row>
    <row r="56" spans="2:4" hidden="1" x14ac:dyDescent="0.25">
      <c r="B56" s="33" t="s">
        <v>41</v>
      </c>
      <c r="C56" s="33" t="s">
        <v>66</v>
      </c>
      <c r="D56" s="36">
        <v>12.02</v>
      </c>
    </row>
    <row r="57" spans="2:4" hidden="1" x14ac:dyDescent="0.25">
      <c r="B57" s="33" t="s">
        <v>42</v>
      </c>
      <c r="C57" s="33" t="s">
        <v>67</v>
      </c>
      <c r="D57" s="36">
        <v>12.77</v>
      </c>
    </row>
    <row r="58" spans="2:4" hidden="1" x14ac:dyDescent="0.25">
      <c r="B58" s="33" t="s">
        <v>43</v>
      </c>
      <c r="C58" s="33" t="s">
        <v>68</v>
      </c>
      <c r="D58" s="36">
        <v>12.35</v>
      </c>
    </row>
    <row r="59" spans="2:4" hidden="1" x14ac:dyDescent="0.25">
      <c r="B59" s="33" t="s">
        <v>44</v>
      </c>
      <c r="C59" s="33" t="s">
        <v>69</v>
      </c>
      <c r="D59" s="36">
        <v>13.5</v>
      </c>
    </row>
    <row r="60" spans="2:4" hidden="1" x14ac:dyDescent="0.25">
      <c r="B60" s="33" t="s">
        <v>45</v>
      </c>
      <c r="C60" s="33" t="s">
        <v>70</v>
      </c>
      <c r="D60" s="36">
        <v>12.17</v>
      </c>
    </row>
    <row r="61" spans="2:4" hidden="1" x14ac:dyDescent="0.25">
      <c r="B61" s="33" t="s">
        <v>46</v>
      </c>
      <c r="C61" s="33" t="s">
        <v>71</v>
      </c>
      <c r="D61" s="36">
        <v>9.8800000000000008</v>
      </c>
    </row>
    <row r="62" spans="2:4" hidden="1" x14ac:dyDescent="0.25">
      <c r="B62" s="29" t="s">
        <v>47</v>
      </c>
      <c r="C62" s="29" t="s">
        <v>72</v>
      </c>
      <c r="D62" s="31">
        <v>11.49</v>
      </c>
    </row>
    <row r="63" spans="2:4" hidden="1" x14ac:dyDescent="0.25">
      <c r="B63" s="29" t="s">
        <v>27</v>
      </c>
      <c r="C63" s="29" t="s">
        <v>73</v>
      </c>
      <c r="D63" s="31">
        <v>12.17</v>
      </c>
    </row>
    <row r="64" spans="2:4" hidden="1" x14ac:dyDescent="0.25">
      <c r="B64" s="29" t="s">
        <v>28</v>
      </c>
      <c r="C64" s="29" t="s">
        <v>74</v>
      </c>
      <c r="D64" s="31">
        <v>10.71</v>
      </c>
    </row>
    <row r="65" spans="2:4" hidden="1" x14ac:dyDescent="0.25">
      <c r="B65" s="29" t="s">
        <v>29</v>
      </c>
      <c r="C65" s="29" t="s">
        <v>75</v>
      </c>
      <c r="D65" s="31">
        <v>11.97</v>
      </c>
    </row>
    <row r="66" spans="2:4" hidden="1" x14ac:dyDescent="0.25">
      <c r="B66" s="29" t="s">
        <v>48</v>
      </c>
      <c r="C66" s="29" t="s">
        <v>76</v>
      </c>
      <c r="D66" s="31">
        <v>10.71</v>
      </c>
    </row>
    <row r="67" spans="2:4" hidden="1" x14ac:dyDescent="0.25">
      <c r="B67" s="29" t="s">
        <v>49</v>
      </c>
      <c r="C67" s="29" t="s">
        <v>77</v>
      </c>
      <c r="D67" s="31">
        <v>10.71</v>
      </c>
    </row>
    <row r="68" spans="2:4" hidden="1" x14ac:dyDescent="0.25">
      <c r="B68" s="29" t="s">
        <v>50</v>
      </c>
      <c r="C68" s="29" t="s">
        <v>78</v>
      </c>
      <c r="D68" s="31">
        <v>12.35</v>
      </c>
    </row>
    <row r="69" spans="2:4" hidden="1" x14ac:dyDescent="0.25">
      <c r="B69" s="29" t="s">
        <v>51</v>
      </c>
      <c r="C69" s="29" t="s">
        <v>91</v>
      </c>
      <c r="D69" s="31">
        <v>12.47</v>
      </c>
    </row>
    <row r="70" spans="2:4" hidden="1" x14ac:dyDescent="0.25">
      <c r="B70" s="29" t="s">
        <v>88</v>
      </c>
      <c r="C70" s="29" t="s">
        <v>89</v>
      </c>
      <c r="D70" s="31">
        <v>9.8800000000000008</v>
      </c>
    </row>
    <row r="71" spans="2:4" hidden="1" x14ac:dyDescent="0.25">
      <c r="B71" s="67" t="s">
        <v>88</v>
      </c>
      <c r="C71" s="67" t="s">
        <v>90</v>
      </c>
      <c r="D71" s="67">
        <v>9.8800000000000008</v>
      </c>
    </row>
    <row r="72" spans="2:4" hidden="1" x14ac:dyDescent="0.25"/>
  </sheetData>
  <sheetProtection password="CC3E" sheet="1" objects="1" scenarios="1"/>
  <mergeCells count="26">
    <mergeCell ref="F35:G35"/>
    <mergeCell ref="F34:G34"/>
    <mergeCell ref="B14:I14"/>
    <mergeCell ref="B16:I16"/>
    <mergeCell ref="B17:I17"/>
    <mergeCell ref="B19:I19"/>
    <mergeCell ref="B25:I25"/>
    <mergeCell ref="H27:H32"/>
    <mergeCell ref="B30:E30"/>
    <mergeCell ref="B31:E31"/>
    <mergeCell ref="B32:E32"/>
    <mergeCell ref="B29:E29"/>
    <mergeCell ref="B37:I37"/>
    <mergeCell ref="B38:E38"/>
    <mergeCell ref="B44:D44"/>
    <mergeCell ref="B39:E39"/>
    <mergeCell ref="F40:G40"/>
    <mergeCell ref="H42:I42"/>
    <mergeCell ref="H43:I43"/>
    <mergeCell ref="H44:I44"/>
    <mergeCell ref="E7:F7"/>
    <mergeCell ref="E8:F8"/>
    <mergeCell ref="E9:F9"/>
    <mergeCell ref="B27:E27"/>
    <mergeCell ref="B28:E28"/>
    <mergeCell ref="C21:F21"/>
  </mergeCells>
  <conditionalFormatting sqref="F40:G42">
    <cfRule type="cellIs" dxfId="3" priority="10" operator="equal">
      <formula>"Nº horas incorrecto"</formula>
    </cfRule>
  </conditionalFormatting>
  <conditionalFormatting sqref="F33:G33 F34:F35">
    <cfRule type="cellIs" dxfId="2" priority="6" operator="equal">
      <formula>"Máximo 250 horas subvencionables"</formula>
    </cfRule>
  </conditionalFormatting>
  <conditionalFormatting sqref="B44:D45">
    <cfRule type="cellIs" dxfId="1" priority="3" operator="equal">
      <formula>"Al menos 20% del importe de la subvención del itinerario debe ser en presencial"</formula>
    </cfRule>
  </conditionalFormatting>
  <conditionalFormatting sqref="H44:I45">
    <cfRule type="cellIs" dxfId="0" priority="1" operator="equal">
      <formula>"Subvención máxima de 50.000 euros"</formula>
    </cfRule>
  </conditionalFormatting>
  <dataValidations count="5">
    <dataValidation type="list" allowBlank="1" showInputMessage="1" showErrorMessage="1" error="Elegir una opción del despegable" sqref="E40:E42 F14:F15 C14:C15 F18:F20 C18:C20">
      <formula1>"a) PROGRAMA DEL ANEXO,b) ESPECIALIDAD ÚNICA NO CATALOGADA,c) ITINERARIO FORMATICO"</formula1>
    </dataValidation>
    <dataValidation type="list" allowBlank="1" showInputMessage="1" showErrorMessage="1" error="Elegir 1 familia del despegable" sqref="E36">
      <formula1>$B$46:$B$71</formula1>
    </dataValidation>
    <dataValidation type="list" allowBlank="1" showInputMessage="1" showErrorMessage="1" sqref="D22:F22">
      <formula1>$B$46:$B$71</formula1>
    </dataValidation>
    <dataValidation type="list" allowBlank="1" showInputMessage="1" showErrorMessage="1" error="Elegir una familia del despegable" sqref="C22">
      <formula1>$B$46:$B$71</formula1>
    </dataValidation>
    <dataValidation type="list" allowBlank="1" showInputMessage="1" showErrorMessage="1" error="Elegir un nivel del despegable" sqref="C23">
      <formula1>"1,2,3,4,5"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Agrupar</vt:lpstr>
      <vt:lpstr>SOLICITUD</vt:lpstr>
      <vt:lpstr>ITINERARIO FORMATIVO</vt:lpstr>
      <vt:lpstr>ESPECIALIDAD ÚNICA NO CATALOGAD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X057978</dc:creator>
  <cp:lastModifiedBy>x057978</cp:lastModifiedBy>
  <cp:lastPrinted>2024-11-05T14:07:08Z</cp:lastPrinted>
  <dcterms:created xsi:type="dcterms:W3CDTF">2024-10-08T12:48:04Z</dcterms:created>
  <dcterms:modified xsi:type="dcterms:W3CDTF">2025-02-07T08:06:37Z</dcterms:modified>
</cp:coreProperties>
</file>