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<sst xmlns="http://schemas.openxmlformats.org/spreadsheetml/2006/main" count="103" uniqueCount="34">
  <si>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</si>
  <si>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</si>
  <si>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</si>
  <si>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</si>
  <si>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</si>
  <si>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</si>
  <si>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</si>
  <si>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</si>
  <si>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</si>
  <si>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</si>
  <si>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</si>
  <si>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</si>
  <si>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</si>
  <si>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</si>
  <si>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</si>
  <si>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</si>
  <si>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</si>
  <si>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</si>
  <si>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</si>
  <si>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</si>
  <si>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</si>
  <si>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</si>
  <si>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</si>
  <si>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</si>
  <si>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</si>
  <si>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</si>
  <si>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</si>
  <si>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</si>
  <si>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</si>
  <si>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</si>
  <si>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</si>
  <si>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INF 42/2017</t>
  </si>
  <si>
    <t>(Abril 2017 -Abril 2016)</t>
  </si>
  <si>
    <t>(Abril 2017 - Abril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</si>
</sst>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0"/>
    </font>
    <font>
      <sz val="6"/>
      <color indexed="8"/>
      <name val="Arial"/>
      <family val="0"/>
    </font>
    <font>
      <b/>
      <sz val="8.25"/>
      <color indexed="8"/>
      <name val="Arial"/>
      <family val="0"/>
    </font>
    <font>
      <sz val="5.75"/>
      <color indexed="8"/>
      <name val="Arial"/>
      <family val="0"/>
    </font>
    <font>
      <sz val="9"/>
      <color indexed="8"/>
      <name val="Arial"/>
      <family val="0"/>
    </font>
    <font>
      <sz val="5.6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b/>
      <sz val="9.2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wrapText="1"/>
    </xf>
    <xf numFmtId="17" fontId="21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34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2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10" fontId="0" fillId="0" borderId="16" xfId="0" applyNumberFormat="1" applyFill="1" applyBorder="1" applyAlignment="1">
      <alignment vertical="top" wrapText="1"/>
    </xf>
    <xf numFmtId="10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10" fontId="0" fillId="0" borderId="14" xfId="0" applyNumberFormat="1" applyFill="1" applyBorder="1" applyAlignment="1">
      <alignment vertical="top" wrapText="1"/>
    </xf>
    <xf numFmtId="10" fontId="16" fillId="34" borderId="11" xfId="54" applyNumberFormat="1" applyFont="1" applyFill="1" applyBorder="1" applyAlignment="1">
      <alignment/>
    </xf>
    <xf numFmtId="10" fontId="18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7" fontId="20" fillId="34" borderId="18" xfId="0" applyNumberFormat="1" applyFont="1" applyFill="1" applyBorder="1" applyAlignment="1">
      <alignment horizontal="center" wrapText="1"/>
    </xf>
    <xf numFmtId="17" fontId="21" fillId="34" borderId="18" xfId="0" applyNumberFormat="1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0" fontId="16" fillId="34" borderId="18" xfId="0" applyFont="1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/>
    </xf>
    <xf numFmtId="3" fontId="17" fillId="33" borderId="17" xfId="0" applyNumberFormat="1" applyFont="1" applyFill="1" applyBorder="1" applyAlignment="1">
      <alignment horizontal="center" vertical="center"/>
    </xf>
    <xf numFmtId="10" fontId="17" fillId="0" borderId="17" xfId="54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3" fontId="15" fillId="0" borderId="17" xfId="0" applyNumberFormat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(Abril 2017- Abril 2016)</a:t>
            </a:r>
          </a:p>
        </c:rich>
      </c:tx>
      <c:layout>
        <c:manualLayout>
          <c:xMode val="factor"/>
          <c:yMode val="factor"/>
          <c:x val="0.01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815"/>
          <c:w val="0.871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Agencias!$E$37</c:f>
              <c:strCache>
                <c:ptCount val="1"/>
                <c:pt idx="0">
                  <c:v>abr-16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Agencias!$E$38:$E$48</c:f>
              <c:numCache/>
            </c:numRef>
          </c:val>
        </c:ser>
        <c:ser>
          <c:idx val="1"/>
          <c:order val="1"/>
          <c:tx>
            <c:strRef>
              <c:f>Agencias!$E$51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Agencias!$E$52:$E$62</c:f>
              <c:numCache/>
            </c:numRef>
          </c:val>
        </c:ser>
        <c:axId val="28143129"/>
        <c:axId val="15190830"/>
      </c:barChart>
      <c:catAx>
        <c:axId val="2814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0830"/>
        <c:crosses val="autoZero"/>
        <c:auto val="1"/>
        <c:lblOffset val="100"/>
        <c:tickLblSkip val="1"/>
        <c:noMultiLvlLbl val="0"/>
      </c:catAx>
      <c:valAx>
        <c:axId val="15190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72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3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4615"/>
          <c:w val="0.0967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Abril 2017 - Abril 2016</a:t>
            </a:r>
          </a:p>
        </c:rich>
      </c:tx>
      <c:layout>
        <c:manualLayout>
          <c:xMode val="factor"/>
          <c:yMode val="factor"/>
          <c:x val="-0.028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59175"/>
          <c:w val="0.83725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Agencias!$E$88</c:f>
              <c:strCache>
                <c:ptCount val="1"/>
                <c:pt idx="0">
                  <c:v>abr-16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Agencias!$E$89:$E$99</c:f>
              <c:numCache/>
            </c:numRef>
          </c:val>
        </c:ser>
        <c:ser>
          <c:idx val="1"/>
          <c:order val="1"/>
          <c:tx>
            <c:strRef>
              <c:f>Agencias!$E$102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Agencias!$E$103:$E$113</c:f>
              <c:numCache/>
            </c:numRef>
          </c:val>
        </c:ser>
        <c:axId val="66916487"/>
        <c:axId val="56912884"/>
      </c:barChart>
      <c:catAx>
        <c:axId val="6691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2884"/>
        <c:crosses val="autoZero"/>
        <c:auto val="1"/>
        <c:lblOffset val="100"/>
        <c:tickLblSkip val="1"/>
        <c:noMultiLvlLbl val="0"/>
      </c:catAx>
      <c:valAx>
        <c:axId val="56912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6425"/>
          <c:w val="0.114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según Agencias. 
Abril 2017- Abril 2016</a:t>
            </a:r>
          </a:p>
        </c:rich>
      </c:tx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15375"/>
          <c:w val="0.976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/>
            </c:numRef>
          </c:val>
        </c:ser>
        <c:axId val="63592837"/>
        <c:axId val="14977162"/>
      </c:barChart>
      <c:catAx>
        <c:axId val="6359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7162"/>
        <c:crosses val="autoZero"/>
        <c:auto val="1"/>
        <c:lblOffset val="100"/>
        <c:tickLblSkip val="1"/>
        <c:noMultiLvlLbl val="0"/>
      </c:catAx>
      <c:valAx>
        <c:axId val="14977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2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(Abril 2017-Marzo 2017)</a:t>
            </a:r>
          </a:p>
        </c:rich>
      </c:tx>
      <c:layout>
        <c:manualLayout>
          <c:xMode val="factor"/>
          <c:yMode val="factor"/>
          <c:x val="-0.01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8875"/>
          <c:w val="0.818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Agencias!$E$51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Agencias!$E$52:$E$62</c:f>
              <c:numCache/>
            </c:numRef>
          </c:val>
        </c:ser>
        <c:ser>
          <c:idx val="1"/>
          <c:order val="1"/>
          <c:tx>
            <c:strRef>
              <c:f>Agencias!$D$51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Agencias!$D$52:$D$62</c:f>
              <c:numCache/>
            </c:numRef>
          </c:val>
        </c:ser>
        <c:axId val="55592083"/>
        <c:axId val="60699248"/>
      </c:barChart>
      <c:catAx>
        <c:axId val="5559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9248"/>
        <c:crosses val="autoZero"/>
        <c:auto val="1"/>
        <c:lblOffset val="100"/>
        <c:tickLblSkip val="1"/>
        <c:noMultiLvlLbl val="0"/>
      </c:catAx>
      <c:valAx>
        <c:axId val="606992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2083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5025"/>
          <c:w val="0.116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según Agencias. 
Abril 2017- Marzol 2017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15225"/>
          <c:w val="0.979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Agencias!$O$52:$O$62</c:f>
              <c:numCache/>
            </c:numRef>
          </c:val>
        </c:ser>
        <c:axId val="62943537"/>
        <c:axId val="47673126"/>
      </c:barChart>
      <c:catAx>
        <c:axId val="6294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3126"/>
        <c:crosses val="autoZero"/>
        <c:auto val="1"/>
        <c:lblOffset val="100"/>
        <c:tickLblSkip val="1"/>
        <c:noMultiLvlLbl val="0"/>
      </c:catAx>
      <c:valAx>
        <c:axId val="47673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0.08425</cdr:y>
    </cdr:from>
    <cdr:to>
      <cdr:x>0.24525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0" y="238125"/>
          <a:ext cx="981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050625"/>
        <a:ext cx="4419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9600" cy="2876550"/>
    <xdr:graphicFrame>
      <xdr:nvGraphicFramePr>
        <xdr:cNvPr id="2" name="Gráfico 8"/>
        <xdr:cNvGraphicFramePr/>
      </xdr:nvGraphicFramePr>
      <xdr:xfrm>
        <a:off x="0" y="20935950"/>
        <a:ext cx="44196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419100</xdr:colOff>
      <xdr:row>144</xdr:row>
      <xdr:rowOff>38100</xdr:rowOff>
    </xdr:from>
    <xdr:to>
      <xdr:col>14</xdr:col>
      <xdr:colOff>352425</xdr:colOff>
      <xdr:row>162</xdr:row>
      <xdr:rowOff>0</xdr:rowOff>
    </xdr:to>
    <xdr:graphicFrame>
      <xdr:nvGraphicFramePr>
        <xdr:cNvPr id="3" name="Gráfico 14"/>
        <xdr:cNvGraphicFramePr/>
      </xdr:nvGraphicFramePr>
      <xdr:xfrm>
        <a:off x="4600575" y="24041100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079575"/>
        <a:ext cx="44196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81990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94372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695325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82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811250"/>
          <a:ext cx="482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554825"/>
          <a:ext cx="482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163</xdr:row>
      <xdr:rowOff>9525</xdr:rowOff>
    </xdr:from>
    <xdr:to>
      <xdr:col>14</xdr:col>
      <xdr:colOff>352425</xdr:colOff>
      <xdr:row>180</xdr:row>
      <xdr:rowOff>123825</xdr:rowOff>
    </xdr:to>
    <xdr:graphicFrame>
      <xdr:nvGraphicFramePr>
        <xdr:cNvPr id="12" name="Gráfico 14"/>
        <xdr:cNvGraphicFramePr/>
      </xdr:nvGraphicFramePr>
      <xdr:xfrm>
        <a:off x="4629150" y="27089100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BreakPreview" zoomScaleSheetLayoutView="100" workbookViewId="0" topLeftCell="A1">
      <selection activeCell="K139" sqref="K139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5" width="9.28125" style="0" customWidth="1"/>
    <col min="6" max="7" width="11.42187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31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7" t="s">
        <v>11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20.25">
      <c r="A15" s="77" t="s">
        <v>32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33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/>
      <c r="G52" s="31"/>
      <c r="H52" s="38"/>
      <c r="I52" s="38"/>
      <c r="J52" s="33"/>
      <c r="K52" s="40"/>
      <c r="L52" s="41"/>
      <c r="M52" s="38"/>
      <c r="N52" s="42">
        <f>E52-D52</f>
        <v>-42</v>
      </c>
      <c r="O52" s="52">
        <f>N52/D52</f>
        <v>-0.04290091930541369</v>
      </c>
      <c r="P52" s="42">
        <f>E52-E38</f>
        <v>-119</v>
      </c>
      <c r="Q52" s="52">
        <f>P52/E38</f>
        <v>-0.11268939393939394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/>
      <c r="G53" s="31"/>
      <c r="H53" s="38"/>
      <c r="I53" s="38"/>
      <c r="J53" s="33"/>
      <c r="K53" s="40"/>
      <c r="L53" s="41"/>
      <c r="M53" s="38"/>
      <c r="N53" s="42">
        <f aca="true" t="shared" si="0" ref="N53:N63">E53-D53</f>
        <v>-44</v>
      </c>
      <c r="O53" s="52">
        <f aca="true" t="shared" si="1" ref="O53:O63">N53/D53</f>
        <v>-0.05250596658711217</v>
      </c>
      <c r="P53" s="42">
        <f aca="true" t="shared" si="2" ref="P53:P63">E53-E39</f>
        <v>-148</v>
      </c>
      <c r="Q53" s="52">
        <f aca="true" t="shared" si="3" ref="Q53:Q63">P53/E39</f>
        <v>-0.15711252653927812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/>
      <c r="G54" s="39"/>
      <c r="H54" s="39"/>
      <c r="I54" s="39"/>
      <c r="J54" s="39"/>
      <c r="K54" s="39"/>
      <c r="L54" s="39"/>
      <c r="M54" s="39"/>
      <c r="N54" s="42">
        <f t="shared" si="0"/>
        <v>-793</v>
      </c>
      <c r="O54" s="52">
        <f t="shared" si="1"/>
        <v>-0.03317991631799163</v>
      </c>
      <c r="P54" s="42">
        <f t="shared" si="2"/>
        <v>-2252</v>
      </c>
      <c r="Q54" s="52">
        <f t="shared" si="3"/>
        <v>-0.08880476359477897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/>
      <c r="G55" s="38"/>
      <c r="H55" s="38"/>
      <c r="I55" s="38"/>
      <c r="J55" s="33"/>
      <c r="K55" s="40"/>
      <c r="L55" s="33"/>
      <c r="M55" s="38"/>
      <c r="N55" s="42">
        <f t="shared" si="0"/>
        <v>-331</v>
      </c>
      <c r="O55" s="52">
        <f t="shared" si="1"/>
        <v>-0.03318295739348371</v>
      </c>
      <c r="P55" s="42">
        <f t="shared" si="2"/>
        <v>-955</v>
      </c>
      <c r="Q55" s="52">
        <f t="shared" si="3"/>
        <v>-0.09010283989055572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/>
      <c r="G56" s="38"/>
      <c r="H56" s="38"/>
      <c r="I56" s="38"/>
      <c r="J56" s="33"/>
      <c r="K56" s="40"/>
      <c r="L56" s="33"/>
      <c r="M56" s="38"/>
      <c r="N56" s="42">
        <f t="shared" si="0"/>
        <v>-145</v>
      </c>
      <c r="O56" s="52">
        <f t="shared" si="1"/>
        <v>-0.028364632237871674</v>
      </c>
      <c r="P56" s="42">
        <f t="shared" si="2"/>
        <v>-540</v>
      </c>
      <c r="Q56" s="52">
        <f t="shared" si="3"/>
        <v>-0.09805701834029418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/>
      <c r="G57" s="38"/>
      <c r="H57" s="38"/>
      <c r="I57" s="38"/>
      <c r="J57" s="33"/>
      <c r="K57" s="40"/>
      <c r="L57" s="33"/>
      <c r="M57" s="38"/>
      <c r="N57" s="42">
        <f t="shared" si="0"/>
        <v>-317</v>
      </c>
      <c r="O57" s="52">
        <f t="shared" si="1"/>
        <v>-0.0359695903778509</v>
      </c>
      <c r="P57" s="42">
        <f t="shared" si="2"/>
        <v>-757</v>
      </c>
      <c r="Q57" s="52">
        <f t="shared" si="3"/>
        <v>-0.08181130444180267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/>
      <c r="G58" s="38"/>
      <c r="H58" s="38"/>
      <c r="I58" s="38"/>
      <c r="J58" s="33"/>
      <c r="K58" s="40"/>
      <c r="L58" s="33"/>
      <c r="M58" s="38"/>
      <c r="N58" s="42">
        <f t="shared" si="0"/>
        <v>-521</v>
      </c>
      <c r="O58" s="52">
        <f t="shared" si="1"/>
        <v>-0.07168409466153</v>
      </c>
      <c r="P58" s="42">
        <f t="shared" si="2"/>
        <v>-1099</v>
      </c>
      <c r="Q58" s="52">
        <f t="shared" si="3"/>
        <v>-0.1400713739485088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/>
      <c r="G59" s="38"/>
      <c r="H59" s="38"/>
      <c r="I59" s="38"/>
      <c r="J59" s="33"/>
      <c r="K59" s="40"/>
      <c r="L59" s="33"/>
      <c r="M59" s="38"/>
      <c r="N59" s="42">
        <f t="shared" si="0"/>
        <v>-24</v>
      </c>
      <c r="O59" s="52">
        <f t="shared" si="1"/>
        <v>-0.026200873362445413</v>
      </c>
      <c r="P59" s="42">
        <f t="shared" si="2"/>
        <v>-85</v>
      </c>
      <c r="Q59" s="52">
        <f t="shared" si="3"/>
        <v>-0.08700102354145343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/>
      <c r="G60" s="38"/>
      <c r="H60" s="38"/>
      <c r="I60" s="38"/>
      <c r="J60" s="33"/>
      <c r="K60" s="40"/>
      <c r="L60" s="33"/>
      <c r="M60" s="38"/>
      <c r="N60" s="42">
        <f t="shared" si="0"/>
        <v>-257</v>
      </c>
      <c r="O60" s="52">
        <f t="shared" si="1"/>
        <v>-0.16092673763306198</v>
      </c>
      <c r="P60" s="42">
        <f t="shared" si="2"/>
        <v>-191</v>
      </c>
      <c r="Q60" s="52">
        <f t="shared" si="3"/>
        <v>-0.1247550620509471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/>
      <c r="G61" s="38"/>
      <c r="H61" s="38"/>
      <c r="I61" s="38"/>
      <c r="J61" s="33"/>
      <c r="K61" s="40"/>
      <c r="L61" s="33"/>
      <c r="M61" s="38"/>
      <c r="N61" s="42">
        <f t="shared" si="0"/>
        <v>-109</v>
      </c>
      <c r="O61" s="52">
        <f t="shared" si="1"/>
        <v>-0.047432550043516104</v>
      </c>
      <c r="P61" s="42">
        <f t="shared" si="2"/>
        <v>-275</v>
      </c>
      <c r="Q61" s="52">
        <f t="shared" si="3"/>
        <v>-0.11160714285714286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/>
      <c r="G62" s="31"/>
      <c r="H62" s="38"/>
      <c r="I62" s="38"/>
      <c r="J62" s="33"/>
      <c r="K62" s="40"/>
      <c r="L62" s="41"/>
      <c r="M62" s="38"/>
      <c r="N62" s="42">
        <f t="shared" si="0"/>
        <v>-188</v>
      </c>
      <c r="O62" s="52">
        <f t="shared" si="1"/>
        <v>-0.07352366053969496</v>
      </c>
      <c r="P62" s="42">
        <f t="shared" si="2"/>
        <v>-335</v>
      </c>
      <c r="Q62" s="52">
        <f t="shared" si="3"/>
        <v>-0.12389053254437869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/>
      <c r="G63" s="32"/>
      <c r="H63" s="32"/>
      <c r="I63" s="32"/>
      <c r="J63" s="32"/>
      <c r="K63" s="32"/>
      <c r="L63" s="32"/>
      <c r="M63" s="32"/>
      <c r="N63" s="32">
        <f t="shared" si="0"/>
        <v>-1978</v>
      </c>
      <c r="O63" s="60">
        <f t="shared" si="1"/>
        <v>-0.04901742125740342</v>
      </c>
      <c r="P63" s="32">
        <f t="shared" si="2"/>
        <v>-4504</v>
      </c>
      <c r="Q63" s="60">
        <f t="shared" si="3"/>
        <v>-0.1050397630541757</v>
      </c>
      <c r="R63" s="44"/>
    </row>
    <row r="64" ht="11.25" customHeight="1" thickBot="1"/>
    <row r="65" spans="1:8" ht="14.25" thickBot="1" thickTop="1">
      <c r="A65" s="49"/>
      <c r="B65" s="78" t="s">
        <v>22</v>
      </c>
      <c r="C65" s="79"/>
      <c r="D65" s="79"/>
      <c r="E65" s="50"/>
      <c r="F65" s="78" t="s">
        <v>21</v>
      </c>
      <c r="G65" s="79"/>
      <c r="H65" s="79"/>
    </row>
    <row r="66" spans="2:19" ht="14.25" thickBot="1" thickTop="1">
      <c r="B66" s="66" t="s">
        <v>18</v>
      </c>
      <c r="C66" s="65" t="s">
        <v>23</v>
      </c>
      <c r="D66" s="65" t="s">
        <v>24</v>
      </c>
      <c r="F66" s="66" t="s">
        <v>18</v>
      </c>
      <c r="G66" s="65" t="s">
        <v>23</v>
      </c>
      <c r="H66" s="65" t="s">
        <v>24</v>
      </c>
      <c r="Q66" s="50"/>
      <c r="R66" s="50"/>
      <c r="S66" s="50"/>
    </row>
    <row r="67" spans="2:19" ht="13.5" customHeight="1" thickBot="1" thickTop="1">
      <c r="B67" s="67" t="str">
        <f>VLOOKUP(1,Hoja1!$A$16:$D$26,2,FALSE)</f>
        <v>Lodosa</v>
      </c>
      <c r="C67" s="57">
        <f>VLOOKUP(1,Hoja1!$A$16:$D$26,4,FALSE)</f>
        <v>-0.16092673763306198</v>
      </c>
      <c r="D67" s="54">
        <f>VLOOKUP(1,Hoja1!$A$16:$D$26,3,FALSE)</f>
        <v>-257</v>
      </c>
      <c r="F67" s="58" t="str">
        <f>VLOOKUP(1,Hoja1!$A$2:$B$12,2,FALSE)</f>
        <v>Aoiz</v>
      </c>
      <c r="G67" s="57">
        <f>VLOOKUP(F67,Hoja1!$B$2:$D$12,3,FALSE)</f>
        <v>-0.15711252653927812</v>
      </c>
      <c r="H67" s="58">
        <f>VLOOKUP(F67,Hoja1!$B$2:$D$12,2,FALSE)</f>
        <v>-148</v>
      </c>
      <c r="Q67" s="50"/>
      <c r="R67" s="50"/>
      <c r="S67" s="50"/>
    </row>
    <row r="68" spans="2:19" ht="13.5" customHeight="1" thickBot="1" thickTop="1">
      <c r="B68" s="54" t="str">
        <f>VLOOKUP(2,Hoja1!$A$16:$D$26,2,FALSE)</f>
        <v>Tafalla</v>
      </c>
      <c r="C68" s="56">
        <f>VLOOKUP(2,Hoja1!$A$16:$D$26,4,FALSE)</f>
        <v>-0.07352366053969496</v>
      </c>
      <c r="D68" s="58">
        <f>VLOOKUP(2,Hoja1!$A$16:$D$26,3,FALSE)</f>
        <v>-188</v>
      </c>
      <c r="F68" s="58" t="str">
        <f>VLOOKUP(2,Hoja1!$A$2:$B$12,2,FALSE)</f>
        <v>Tudela</v>
      </c>
      <c r="G68" s="57">
        <f>VLOOKUP(F68,Hoja1!$B$2:$D$12,3,FALSE)</f>
        <v>-0.1400713739485088</v>
      </c>
      <c r="H68" s="58">
        <f>VLOOKUP(F68,Hoja1!$B$2:$D$12,2,FALSE)</f>
        <v>-1099</v>
      </c>
      <c r="Q68" s="50"/>
      <c r="R68" s="50"/>
      <c r="S68" s="50"/>
    </row>
    <row r="69" spans="2:19" ht="13.5" customHeight="1" thickBot="1" thickTop="1">
      <c r="B69" s="54" t="str">
        <f>VLOOKUP(3,Hoja1!$A$16:$D$26,2,FALSE)</f>
        <v>Tudela</v>
      </c>
      <c r="C69" s="59">
        <f>VLOOKUP(3,Hoja1!$A$16:$D$26,4,FALSE)</f>
        <v>-0.07168409466153</v>
      </c>
      <c r="D69" s="55">
        <f>VLOOKUP(3,Hoja1!$A$16:$D$26,3,FALSE)</f>
        <v>-521</v>
      </c>
      <c r="F69" s="58" t="str">
        <f>VLOOKUP(3,Hoja1!$A$2:$B$12,2,FALSE)</f>
        <v>Lodosa</v>
      </c>
      <c r="G69" s="57">
        <f>VLOOKUP(F69,Hoja1!$B$2:$D$12,3,FALSE)</f>
        <v>-0.1247550620509471</v>
      </c>
      <c r="H69" s="58">
        <f>VLOOKUP(F69,Hoja1!$B$2:$D$12,2,FALSE)</f>
        <v>-191</v>
      </c>
      <c r="Q69" s="50"/>
      <c r="R69" s="50"/>
      <c r="S69" s="50"/>
    </row>
    <row r="70" spans="2:19" ht="13.5" customHeight="1" thickBot="1" thickTop="1">
      <c r="B70" s="54" t="str">
        <f>VLOOKUP(4,Hoja1!$A$16:$D$26,2,FALSE)</f>
        <v>Aoiz</v>
      </c>
      <c r="C70" s="57">
        <f>VLOOKUP(4,Hoja1!$A$16:$D$26,4,FALSE)</f>
        <v>-0.05250596658711217</v>
      </c>
      <c r="D70" s="58">
        <f>VLOOKUP(4,Hoja1!$A$16:$D$26,3,FALSE)</f>
        <v>-44</v>
      </c>
      <c r="F70" s="58" t="str">
        <f>VLOOKUP(4,Hoja1!$A$2:$B$12,2,FALSE)</f>
        <v>Tafalla</v>
      </c>
      <c r="G70" s="57">
        <f>VLOOKUP(F70,Hoja1!$B$2:$D$12,3,FALSE)</f>
        <v>-0.12389053254437869</v>
      </c>
      <c r="H70" s="58">
        <f>VLOOKUP(F70,Hoja1!$B$2:$D$12,2,FALSE)</f>
        <v>-335</v>
      </c>
      <c r="Q70" s="50"/>
      <c r="R70" s="50"/>
      <c r="S70" s="50"/>
    </row>
    <row r="71" spans="2:19" ht="13.5" customHeight="1" thickBot="1" thickTop="1">
      <c r="B71" s="54" t="str">
        <f>VLOOKUP(5,Hoja1!$A$16:$D$26,2,FALSE)</f>
        <v>Estella</v>
      </c>
      <c r="C71" s="56">
        <f>VLOOKUP(5,Hoja1!$A$16:$D$26,4,FALSE)</f>
        <v>-0.047432550043516104</v>
      </c>
      <c r="D71" s="55">
        <f>VLOOKUP(5,Hoja1!$A$16:$D$26,3,FALSE)</f>
        <v>-109</v>
      </c>
      <c r="F71" s="58" t="str">
        <f>VLOOKUP(5,Hoja1!$A$2:$B$12,2,FALSE)</f>
        <v>Alsasua</v>
      </c>
      <c r="G71" s="57">
        <f>VLOOKUP(F71,Hoja1!$B$2:$D$12,3,FALSE)</f>
        <v>-0.11268939393939394</v>
      </c>
      <c r="H71" s="58">
        <f>VLOOKUP(F71,Hoja1!$B$2:$D$12,2,FALSE)</f>
        <v>-119</v>
      </c>
      <c r="Q71" s="50"/>
      <c r="R71" s="50"/>
      <c r="S71" s="50"/>
    </row>
    <row r="72" spans="2:8" ht="13.5" customHeight="1" thickBot="1" thickTop="1">
      <c r="B72" s="54" t="str">
        <f>VLOOKUP(6,Hoja1!$A$16:$D$26,2,FALSE)</f>
        <v>Alsasua</v>
      </c>
      <c r="C72" s="59">
        <f>VLOOKUP(6,Hoja1!$A$16:$D$26,4,FALSE)</f>
        <v>-0.04290091930541369</v>
      </c>
      <c r="D72" s="54">
        <f>VLOOKUP(6,Hoja1!$A$16:$D$26,3,FALSE)</f>
        <v>-42</v>
      </c>
      <c r="F72" s="58" t="str">
        <f>VLOOKUP(6,Hoja1!$A$2:$B$12,2,FALSE)</f>
        <v>Estella</v>
      </c>
      <c r="G72" s="57">
        <f>VLOOKUP(F72,Hoja1!$B$2:$D$12,3,FALSE)</f>
        <v>-0.11160714285714286</v>
      </c>
      <c r="H72" s="58">
        <f>VLOOKUP(F72,Hoja1!$B$2:$D$12,2,FALSE)</f>
        <v>-275</v>
      </c>
    </row>
    <row r="73" spans="2:19" ht="13.5" customHeight="1" thickBot="1" thickTop="1">
      <c r="B73" s="54" t="str">
        <f>VLOOKUP(7,Hoja1!$A$16:$D$26,2,FALSE)</f>
        <v>Rochapea</v>
      </c>
      <c r="C73" s="59">
        <f>VLOOKUP(7,Hoja1!$A$16:$D$26,4,FALSE)</f>
        <v>-0.0359695903778509</v>
      </c>
      <c r="D73" s="54">
        <f>VLOOKUP(7,Hoja1!$A$16:$D$26,3,FALSE)</f>
        <v>-317</v>
      </c>
      <c r="F73" s="58" t="str">
        <f>VLOOKUP(7,Hoja1!$A$2:$B$12,2,FALSE)</f>
        <v>Yamaguchi</v>
      </c>
      <c r="G73" s="57">
        <f>VLOOKUP(F73,Hoja1!$B$2:$D$12,3,FALSE)</f>
        <v>-0.09805701834029418</v>
      </c>
      <c r="H73" s="58">
        <f>VLOOKUP(F73,Hoja1!$B$2:$D$12,2,FALSE)</f>
        <v>-540</v>
      </c>
      <c r="Q73" s="50"/>
      <c r="R73" s="50"/>
      <c r="S73" s="50"/>
    </row>
    <row r="74" spans="2:19" ht="13.5" customHeight="1" thickBot="1" thickTop="1">
      <c r="B74" s="54" t="str">
        <f>VLOOKUP(8,Hoja1!$A$16:$D$26,2,FALSE)</f>
        <v>Ensanche</v>
      </c>
      <c r="C74" s="59">
        <f>VLOOKUP(8,Hoja1!$A$16:$D$26,4,FALSE)</f>
        <v>-0.03318295739348371</v>
      </c>
      <c r="D74" s="54">
        <f>VLOOKUP(8,Hoja1!$A$16:$D$26,3,FALSE)</f>
        <v>-331</v>
      </c>
      <c r="F74" s="58" t="str">
        <f>VLOOKUP(8,Hoja1!$A$2:$B$12,2,FALSE)</f>
        <v>Ensanche</v>
      </c>
      <c r="G74" s="57">
        <f>VLOOKUP(F74,Hoja1!$B$2:$D$12,3,FALSE)</f>
        <v>-0.09010283989055572</v>
      </c>
      <c r="H74" s="58">
        <f>VLOOKUP(F74,Hoja1!$B$2:$D$12,2,FALSE)</f>
        <v>-955</v>
      </c>
      <c r="Q74" s="50"/>
      <c r="R74" s="50"/>
      <c r="S74" s="50"/>
    </row>
    <row r="75" spans="2:19" ht="13.5" customHeight="1" thickBot="1" thickTop="1">
      <c r="B75" s="54" t="str">
        <f>VLOOKUP(9,Hoja1!$A$16:$D$26,2,FALSE)</f>
        <v>Pamplona</v>
      </c>
      <c r="C75" s="59">
        <f>VLOOKUP(9,Hoja1!$A$16:$D$26,4,FALSE)</f>
        <v>-0.03317991631799163</v>
      </c>
      <c r="D75" s="58">
        <f>VLOOKUP(9,Hoja1!$A$16:$D$26,3,FALSE)</f>
        <v>-793</v>
      </c>
      <c r="F75" s="76" t="str">
        <f>VLOOKUP(9,Hoja1!$A$2:$B$12,2,FALSE)</f>
        <v>Pamplona</v>
      </c>
      <c r="G75" s="57">
        <f>VLOOKUP(F75,Hoja1!$B$2:$D$12,3,FALSE)</f>
        <v>-0.08880476359477897</v>
      </c>
      <c r="H75" s="58">
        <f>VLOOKUP(F75,Hoja1!$B$2:$D$12,2,FALSE)</f>
        <v>-2252</v>
      </c>
      <c r="Q75" s="50"/>
      <c r="R75" s="50"/>
      <c r="S75" s="50"/>
    </row>
    <row r="76" spans="2:8" ht="13.5" customHeight="1" thickBot="1" thickTop="1">
      <c r="B76" s="58" t="str">
        <f>VLOOKUP(10,Hoja1!$A$16:$D$26,2,FALSE)</f>
        <v>Yamaguchi</v>
      </c>
      <c r="C76" s="57">
        <f>VLOOKUP(10,Hoja1!$A$16:$D$26,4,FALSE)</f>
        <v>-0.028364632237871674</v>
      </c>
      <c r="D76" s="58">
        <f>VLOOKUP(10,Hoja1!$A$16:$D$26,3,FALSE)</f>
        <v>-145</v>
      </c>
      <c r="F76" s="58" t="str">
        <f>VLOOKUP(10,Hoja1!$A$2:$B$12,2,FALSE)</f>
        <v>Santesteban</v>
      </c>
      <c r="G76" s="57">
        <f>VLOOKUP(F76,Hoja1!$B$2:$D$12,3,FALSE)</f>
        <v>-0.08700102354145343</v>
      </c>
      <c r="H76" s="58">
        <f>VLOOKUP(F76,Hoja1!$B$2:$D$12,2,FALSE)</f>
        <v>-85</v>
      </c>
    </row>
    <row r="77" spans="2:11" ht="13.5" customHeight="1" thickBot="1" thickTop="1">
      <c r="B77" s="58" t="str">
        <f>VLOOKUP(11,Hoja1!$A$16:$D$26,2,FALSE)</f>
        <v>Santesteban</v>
      </c>
      <c r="C77" s="57">
        <f>VLOOKUP(11,Hoja1!$A$16:$D$26,4,FALSE)</f>
        <v>-0.026200873362445413</v>
      </c>
      <c r="D77" s="58">
        <f>VLOOKUP(11,Hoja1!$A$16:$D$26,3,FALSE)</f>
        <v>-24</v>
      </c>
      <c r="F77" s="58" t="str">
        <f>VLOOKUP(11,Hoja1!$A$2:$B$12,2,FALSE)</f>
        <v>Rochapea</v>
      </c>
      <c r="G77" s="57">
        <f>VLOOKUP(F77,Hoja1!$B$2:$D$12,3,FALSE)</f>
        <v>-0.08181130444180267</v>
      </c>
      <c r="H77" s="58">
        <f>VLOOKUP(F77,Hoja1!$B$2:$D$12,2,FALSE)</f>
        <v>-757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33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61">
        <v>0.5883226564404939</v>
      </c>
      <c r="C91" s="61">
        <v>0.5882783395423098</v>
      </c>
      <c r="D91" s="61">
        <v>0.587479317300936</v>
      </c>
      <c r="E91" s="61">
        <v>0.5914083817253201</v>
      </c>
      <c r="F91" s="61">
        <v>0.5976684881602914</v>
      </c>
      <c r="G91" s="61">
        <v>0.599021634979071</v>
      </c>
      <c r="H91" s="61">
        <v>0.6031156895419886</v>
      </c>
      <c r="I91" s="61">
        <v>0.6070335998354713</v>
      </c>
      <c r="J91" s="61">
        <v>0.614658113130696</v>
      </c>
      <c r="K91" s="61">
        <v>0.6037574943146579</v>
      </c>
      <c r="L91" s="61">
        <v>0.5949994860725666</v>
      </c>
      <c r="M91" s="61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60">
        <v>1</v>
      </c>
      <c r="C100" s="60">
        <v>1</v>
      </c>
      <c r="D100" s="60">
        <v>1</v>
      </c>
      <c r="E100" s="60">
        <v>1</v>
      </c>
      <c r="F100" s="60">
        <v>1</v>
      </c>
      <c r="G100" s="60">
        <v>1</v>
      </c>
      <c r="H100" s="60">
        <v>1</v>
      </c>
      <c r="I100" s="60">
        <v>1</v>
      </c>
      <c r="J100" s="60">
        <v>1</v>
      </c>
      <c r="K100" s="60">
        <v>1</v>
      </c>
      <c r="L100" s="60">
        <v>1</v>
      </c>
      <c r="M100" s="60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/>
      <c r="G103" s="51"/>
      <c r="H103" s="51"/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4" ref="B104:B114">B53/$B$63</f>
        <v>0.022719557732408708</v>
      </c>
      <c r="C104" s="51">
        <f aca="true" t="shared" si="5" ref="C104:C113">C53/$C$63</f>
        <v>0.02200392927308448</v>
      </c>
      <c r="D104" s="51">
        <f aca="true" t="shared" si="6" ref="D104:D113">D53/$D$63</f>
        <v>0.020766733576190122</v>
      </c>
      <c r="E104" s="51">
        <f aca="true" t="shared" si="7" ref="E104:E114">E53/$E$63</f>
        <v>0.02069055374592834</v>
      </c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22" t="s">
        <v>2</v>
      </c>
      <c r="B105" s="51">
        <f t="shared" si="4"/>
        <v>0.5934726734881917</v>
      </c>
      <c r="C105" s="51">
        <f t="shared" si="5"/>
        <v>0.593614931237721</v>
      </c>
      <c r="D105" s="51">
        <f t="shared" si="6"/>
        <v>0.5922731891061384</v>
      </c>
      <c r="E105" s="53">
        <f t="shared" si="7"/>
        <v>0.6021368078175896</v>
      </c>
      <c r="F105" s="51"/>
      <c r="G105" s="51"/>
      <c r="H105" s="53"/>
      <c r="I105" s="53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4"/>
        <v>0.24768439939867126</v>
      </c>
      <c r="C106" s="51">
        <f t="shared" si="5"/>
        <v>0.24641453831041257</v>
      </c>
      <c r="D106" s="51">
        <f t="shared" si="6"/>
        <v>0.2471935172106163</v>
      </c>
      <c r="E106" s="51">
        <f t="shared" si="7"/>
        <v>0.25130944625407164</v>
      </c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4"/>
        <v>0.12683671984869793</v>
      </c>
      <c r="C107" s="51">
        <f t="shared" si="5"/>
        <v>0.12833988212180747</v>
      </c>
      <c r="D107" s="51">
        <f t="shared" si="6"/>
        <v>0.12668203107575646</v>
      </c>
      <c r="E107" s="51">
        <f t="shared" si="7"/>
        <v>0.12943322475570032</v>
      </c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4"/>
        <v>0.21895155424082247</v>
      </c>
      <c r="C108" s="51">
        <f t="shared" si="5"/>
        <v>0.21886051080550098</v>
      </c>
      <c r="D108" s="51">
        <f t="shared" si="6"/>
        <v>0.21839764081976556</v>
      </c>
      <c r="E108" s="51">
        <f t="shared" si="7"/>
        <v>0.22139413680781758</v>
      </c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4"/>
        <v>0.17545220891324378</v>
      </c>
      <c r="C109" s="51">
        <f t="shared" si="5"/>
        <v>0.1757121807465619</v>
      </c>
      <c r="D109" s="51">
        <f t="shared" si="6"/>
        <v>0.1801105246202265</v>
      </c>
      <c r="E109" s="51">
        <f t="shared" si="7"/>
        <v>0.17581758957654722</v>
      </c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4"/>
        <v>0.023519712914019688</v>
      </c>
      <c r="C110" s="51">
        <f t="shared" si="5"/>
        <v>0.02330550098231827</v>
      </c>
      <c r="D110" s="51">
        <f t="shared" si="6"/>
        <v>0.022699675364904717</v>
      </c>
      <c r="E110" s="51">
        <f t="shared" si="7"/>
        <v>0.0232442996742671</v>
      </c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4"/>
        <v>0.03838320159061151</v>
      </c>
      <c r="C111" s="51">
        <f t="shared" si="5"/>
        <v>0.03899803536345776</v>
      </c>
      <c r="D111" s="51">
        <f t="shared" si="6"/>
        <v>0.03957574405868213</v>
      </c>
      <c r="E111" s="51">
        <f t="shared" si="7"/>
        <v>0.0349185667752443</v>
      </c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4"/>
        <v>0.05809611561030018</v>
      </c>
      <c r="C112" s="51">
        <f t="shared" si="5"/>
        <v>0.05783398821218075</v>
      </c>
      <c r="D112" s="51">
        <f t="shared" si="6"/>
        <v>0.05694743885212995</v>
      </c>
      <c r="E112" s="51">
        <f t="shared" si="7"/>
        <v>0.05704234527687296</v>
      </c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4"/>
        <v>0.06398816740216284</v>
      </c>
      <c r="C113" s="51">
        <f t="shared" si="5"/>
        <v>0.0649312377210216</v>
      </c>
      <c r="D113" s="51">
        <f t="shared" si="6"/>
        <v>0.06336579684286174</v>
      </c>
      <c r="E113" s="51">
        <f t="shared" si="7"/>
        <v>0.0617328990228013</v>
      </c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24" t="s">
        <v>13</v>
      </c>
      <c r="B114" s="60">
        <f t="shared" si="4"/>
        <v>1</v>
      </c>
      <c r="C114" s="60">
        <f>C63/$C$63</f>
        <v>1</v>
      </c>
      <c r="D114" s="60">
        <f>D63/$D$63</f>
        <v>1</v>
      </c>
      <c r="E114" s="48">
        <f t="shared" si="7"/>
        <v>1</v>
      </c>
      <c r="F114" s="48"/>
      <c r="G114" s="48"/>
      <c r="H114" s="48"/>
      <c r="I114" s="48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33</v>
      </c>
      <c r="E122" s="62"/>
      <c r="F122" s="62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&amp;LINF-29/2017. Observatorio de la Realidad Social.&amp;R&amp;P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9" sqref="F1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8" t="s">
        <v>19</v>
      </c>
      <c r="B1" s="68" t="s">
        <v>28</v>
      </c>
      <c r="C1" s="63" t="s">
        <v>20</v>
      </c>
      <c r="D1" s="64" t="s">
        <v>16</v>
      </c>
    </row>
    <row r="2" spans="1:4" ht="14.25" thickBot="1" thickTop="1">
      <c r="A2" s="69">
        <f>RANK(D2,Agencias!$Q$52:$Q$62,1)</f>
        <v>5</v>
      </c>
      <c r="B2" s="70" t="s">
        <v>0</v>
      </c>
      <c r="C2" s="71">
        <f>Agencias!P52</f>
        <v>-119</v>
      </c>
      <c r="D2" s="72">
        <f>Agencias!Q52</f>
        <v>-0.11268939393939394</v>
      </c>
    </row>
    <row r="3" spans="1:4" ht="14.25" thickBot="1" thickTop="1">
      <c r="A3" s="69">
        <f>RANK(D3,Agencias!$Q$52:$Q$62,1)</f>
        <v>1</v>
      </c>
      <c r="B3" s="70" t="s">
        <v>1</v>
      </c>
      <c r="C3" s="71">
        <f>Agencias!P53</f>
        <v>-148</v>
      </c>
      <c r="D3" s="72">
        <f>Agencias!Q53</f>
        <v>-0.15711252653927812</v>
      </c>
    </row>
    <row r="4" spans="1:4" ht="14.25" thickBot="1" thickTop="1">
      <c r="A4" s="69">
        <f>RANK(D4,Agencias!$Q$52:$Q$62,1)</f>
        <v>9</v>
      </c>
      <c r="B4" s="73" t="s">
        <v>2</v>
      </c>
      <c r="C4" s="71">
        <f>Agencias!P54</f>
        <v>-2252</v>
      </c>
      <c r="D4" s="72">
        <f>Agencias!Q54</f>
        <v>-0.08880476359477897</v>
      </c>
    </row>
    <row r="5" spans="1:4" ht="14.25" thickBot="1" thickTop="1">
      <c r="A5" s="69">
        <f>RANK(D5,Agencias!$Q$52:$Q$62,1)</f>
        <v>8</v>
      </c>
      <c r="B5" s="74" t="s">
        <v>8</v>
      </c>
      <c r="C5" s="71">
        <f>Agencias!P55</f>
        <v>-955</v>
      </c>
      <c r="D5" s="72">
        <f>Agencias!Q55</f>
        <v>-0.09010283989055572</v>
      </c>
    </row>
    <row r="6" spans="1:4" ht="14.25" thickBot="1" thickTop="1">
      <c r="A6" s="69">
        <f>RANK(D6,Agencias!$Q$52:$Q$62,1)</f>
        <v>7</v>
      </c>
      <c r="B6" s="74" t="s">
        <v>9</v>
      </c>
      <c r="C6" s="71">
        <f>Agencias!P56</f>
        <v>-540</v>
      </c>
      <c r="D6" s="72">
        <f>Agencias!Q56</f>
        <v>-0.09805701834029418</v>
      </c>
    </row>
    <row r="7" spans="1:4" ht="14.25" thickBot="1" thickTop="1">
      <c r="A7" s="69">
        <f>RANK(D7,Agencias!$Q$52:$Q$62,1)</f>
        <v>11</v>
      </c>
      <c r="B7" s="74" t="s">
        <v>10</v>
      </c>
      <c r="C7" s="71">
        <f>Agencias!P57</f>
        <v>-757</v>
      </c>
      <c r="D7" s="72">
        <f>Agencias!Q57</f>
        <v>-0.08181130444180267</v>
      </c>
    </row>
    <row r="8" spans="1:4" ht="14.25" thickBot="1" thickTop="1">
      <c r="A8" s="69">
        <f>RANK(D8,Agencias!$Q$52:$Q$62,1)</f>
        <v>2</v>
      </c>
      <c r="B8" s="75" t="s">
        <v>3</v>
      </c>
      <c r="C8" s="71">
        <f>Agencias!P58</f>
        <v>-1099</v>
      </c>
      <c r="D8" s="72">
        <f>Agencias!Q58</f>
        <v>-0.1400713739485088</v>
      </c>
    </row>
    <row r="9" spans="1:4" ht="14.25" thickBot="1" thickTop="1">
      <c r="A9" s="69">
        <f>RANK(D9,Agencias!$Q$52:$Q$62,1)</f>
        <v>10</v>
      </c>
      <c r="B9" s="75" t="s">
        <v>4</v>
      </c>
      <c r="C9" s="71">
        <f>Agencias!P59</f>
        <v>-85</v>
      </c>
      <c r="D9" s="72">
        <f>Agencias!Q59</f>
        <v>-0.08700102354145343</v>
      </c>
    </row>
    <row r="10" spans="1:4" ht="14.25" thickBot="1" thickTop="1">
      <c r="A10" s="69">
        <f>RANK(D10,Agencias!$Q$52:$Q$62,1)</f>
        <v>3</v>
      </c>
      <c r="B10" s="75" t="s">
        <v>5</v>
      </c>
      <c r="C10" s="71">
        <f>Agencias!P60</f>
        <v>-191</v>
      </c>
      <c r="D10" s="72">
        <f>Agencias!Q60</f>
        <v>-0.1247550620509471</v>
      </c>
    </row>
    <row r="11" spans="1:4" ht="14.25" thickBot="1" thickTop="1">
      <c r="A11" s="69">
        <f>RANK(D11,Agencias!$Q$52:$Q$62,1)</f>
        <v>6</v>
      </c>
      <c r="B11" s="75" t="s">
        <v>6</v>
      </c>
      <c r="C11" s="71">
        <f>Agencias!P61</f>
        <v>-275</v>
      </c>
      <c r="D11" s="72">
        <f>Agencias!Q61</f>
        <v>-0.11160714285714286</v>
      </c>
    </row>
    <row r="12" spans="1:4" ht="14.25" thickBot="1" thickTop="1">
      <c r="A12" s="69">
        <f>RANK(D12,Agencias!$Q$52:$Q$62,1)</f>
        <v>4</v>
      </c>
      <c r="B12" s="70" t="s">
        <v>7</v>
      </c>
      <c r="C12" s="71">
        <f>Agencias!P62</f>
        <v>-335</v>
      </c>
      <c r="D12" s="72">
        <f>Agencias!Q62</f>
        <v>-0.12389053254437869</v>
      </c>
    </row>
    <row r="13" ht="13.5" thickTop="1"/>
    <row r="15" spans="1:4" ht="13.5" thickBot="1">
      <c r="A15" s="68" t="s">
        <v>19</v>
      </c>
      <c r="B15" s="68" t="s">
        <v>17</v>
      </c>
      <c r="C15" s="63" t="s">
        <v>25</v>
      </c>
      <c r="D15" s="64" t="s">
        <v>16</v>
      </c>
    </row>
    <row r="16" spans="1:4" ht="14.25" thickBot="1" thickTop="1">
      <c r="A16" s="69">
        <f>RANK(Agencias!O52,Agencias!$O$52:$O$62,1)</f>
        <v>6</v>
      </c>
      <c r="B16" s="70" t="s">
        <v>0</v>
      </c>
      <c r="C16" s="71">
        <f>Agencias!N52</f>
        <v>-42</v>
      </c>
      <c r="D16" s="72">
        <f>Agencias!O52</f>
        <v>-0.04290091930541369</v>
      </c>
    </row>
    <row r="17" spans="1:4" ht="14.25" thickBot="1" thickTop="1">
      <c r="A17" s="69">
        <f>RANK(Agencias!O53,Agencias!$O$52:$O$62,1)</f>
        <v>4</v>
      </c>
      <c r="B17" s="70" t="s">
        <v>1</v>
      </c>
      <c r="C17" s="71">
        <f>Agencias!N53</f>
        <v>-44</v>
      </c>
      <c r="D17" s="72">
        <f>Agencias!O53</f>
        <v>-0.05250596658711217</v>
      </c>
    </row>
    <row r="18" spans="1:4" ht="14.25" thickBot="1" thickTop="1">
      <c r="A18" s="69">
        <f>RANK(Agencias!O54,Agencias!$O$52:$O$62,1)</f>
        <v>9</v>
      </c>
      <c r="B18" s="73" t="s">
        <v>2</v>
      </c>
      <c r="C18" s="71">
        <f>Agencias!N54</f>
        <v>-793</v>
      </c>
      <c r="D18" s="72">
        <f>Agencias!O54</f>
        <v>-0.03317991631799163</v>
      </c>
    </row>
    <row r="19" spans="1:4" ht="14.25" thickBot="1" thickTop="1">
      <c r="A19" s="69">
        <f>RANK(Agencias!O55,Agencias!$O$52:$O$62,1)</f>
        <v>8</v>
      </c>
      <c r="B19" s="74" t="s">
        <v>8</v>
      </c>
      <c r="C19" s="71">
        <f>Agencias!N55</f>
        <v>-331</v>
      </c>
      <c r="D19" s="72">
        <f>Agencias!O55</f>
        <v>-0.03318295739348371</v>
      </c>
    </row>
    <row r="20" spans="1:4" ht="14.25" thickBot="1" thickTop="1">
      <c r="A20" s="69">
        <f>RANK(Agencias!O56,Agencias!$O$52:$O$62,1)</f>
        <v>10</v>
      </c>
      <c r="B20" s="74" t="s">
        <v>9</v>
      </c>
      <c r="C20" s="71">
        <f>Agencias!N56</f>
        <v>-145</v>
      </c>
      <c r="D20" s="72">
        <f>Agencias!O56</f>
        <v>-0.028364632237871674</v>
      </c>
    </row>
    <row r="21" spans="1:4" ht="14.25" thickBot="1" thickTop="1">
      <c r="A21" s="69">
        <f>RANK(Agencias!O57,Agencias!$O$52:$O$62,1)</f>
        <v>7</v>
      </c>
      <c r="B21" s="74" t="s">
        <v>10</v>
      </c>
      <c r="C21" s="71">
        <f>Agencias!N57</f>
        <v>-317</v>
      </c>
      <c r="D21" s="72">
        <f>Agencias!O57</f>
        <v>-0.0359695903778509</v>
      </c>
    </row>
    <row r="22" spans="1:4" ht="14.25" thickBot="1" thickTop="1">
      <c r="A22" s="69">
        <f>RANK(Agencias!O58,Agencias!$O$52:$O$62,1)</f>
        <v>3</v>
      </c>
      <c r="B22" s="75" t="s">
        <v>3</v>
      </c>
      <c r="C22" s="71">
        <f>Agencias!N58</f>
        <v>-521</v>
      </c>
      <c r="D22" s="72">
        <f>Agencias!O58</f>
        <v>-0.07168409466153</v>
      </c>
    </row>
    <row r="23" spans="1:4" ht="14.25" thickBot="1" thickTop="1">
      <c r="A23" s="69">
        <f>RANK(Agencias!O59,Agencias!$O$52:$O$62,1)</f>
        <v>11</v>
      </c>
      <c r="B23" s="75" t="s">
        <v>4</v>
      </c>
      <c r="C23" s="71">
        <f>Agencias!N59</f>
        <v>-24</v>
      </c>
      <c r="D23" s="72">
        <f>Agencias!O59</f>
        <v>-0.026200873362445413</v>
      </c>
    </row>
    <row r="24" spans="1:4" ht="14.25" thickBot="1" thickTop="1">
      <c r="A24" s="69">
        <f>RANK(Agencias!O60,Agencias!$O$52:$O$62,1)</f>
        <v>1</v>
      </c>
      <c r="B24" s="75" t="s">
        <v>5</v>
      </c>
      <c r="C24" s="71">
        <f>Agencias!N60</f>
        <v>-257</v>
      </c>
      <c r="D24" s="72">
        <f>Agencias!O60</f>
        <v>-0.16092673763306198</v>
      </c>
    </row>
    <row r="25" spans="1:4" ht="14.25" thickBot="1" thickTop="1">
      <c r="A25" s="69">
        <f>RANK(Agencias!O61,Agencias!$O$52:$O$62,1)</f>
        <v>5</v>
      </c>
      <c r="B25" s="75" t="s">
        <v>6</v>
      </c>
      <c r="C25" s="71">
        <f>Agencias!N61</f>
        <v>-109</v>
      </c>
      <c r="D25" s="72">
        <f>Agencias!O61</f>
        <v>-0.047432550043516104</v>
      </c>
    </row>
    <row r="26" spans="1:4" ht="14.25" thickBot="1" thickTop="1">
      <c r="A26" s="69">
        <f>RANK(Agencias!O62,Agencias!$O$52:$O$62,1)</f>
        <v>2</v>
      </c>
      <c r="B26" s="70" t="s">
        <v>7</v>
      </c>
      <c r="C26" s="71">
        <f>Agencias!N62</f>
        <v>-188</v>
      </c>
      <c r="D26" s="72">
        <f>Agencias!O62</f>
        <v>-0.07352366053969496</v>
      </c>
    </row>
    <row r="2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x054638</cp:lastModifiedBy>
  <cp:lastPrinted>2016-01-12T13:43:52Z</cp:lastPrinted>
  <dcterms:created xsi:type="dcterms:W3CDTF">2008-10-07T08:49:59Z</dcterms:created>
  <dcterms:modified xsi:type="dcterms:W3CDTF">2017-05-03T12:40:00Z</dcterms:modified>
  <cp:category/>
  <cp:version/>
  <cp:contentType/>
  <cp:contentStatus/>
</cp:coreProperties>
</file>